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9600" windowHeight="6810" tabRatio="927" firstSheet="2" activeTab="5"/>
  </bookViews>
  <sheets>
    <sheet name="Обзор" sheetId="1" r:id="rId1"/>
    <sheet name="Объяснение ячеек" sheetId="2" r:id="rId2"/>
    <sheet name="Данные эпиднадзора" sheetId="3" r:id="rId3"/>
    <sheet name="Пример пика распр-ти" sheetId="4" r:id="rId4"/>
    <sheet name="Лист данных" sheetId="5" r:id="rId5"/>
    <sheet name="Set-up" sheetId="6" r:id="rId6"/>
    <sheet name="Базовый год" sheetId="7" r:id="rId7"/>
    <sheet name="2005" sheetId="8" r:id="rId8"/>
    <sheet name="2010" sheetId="9" r:id="rId9"/>
    <sheet name="Оценка распр-ти среди взрослых" sheetId="10" r:id="rId10"/>
    <sheet name="2020" sheetId="11" state="hidden" r:id="rId11"/>
    <sheet name="2030" sheetId="12" state="hidden" r:id="rId12"/>
    <sheet name="EPP model" sheetId="13" state="hidden" r:id="rId13"/>
    <sheet name="Country database" sheetId="14" state="hidden" r:id="rId14"/>
    <sheet name="Population" sheetId="15" state="hidden" r:id="rId15"/>
  </sheets>
  <definedNames>
    <definedName name="Adult_pop_in_1980">'Country database'!$B$3</definedName>
    <definedName name="b">'Country database'!$B$5</definedName>
    <definedName name="Base_year">'Set-up'!$B$2</definedName>
    <definedName name="e">'Country database'!$B$7</definedName>
    <definedName name="fo">'Set-up'!$B$37</definedName>
    <definedName name="force_of_infection">'Set-up'!$B$36</definedName>
    <definedName name="gr">'Country database'!$B$8</definedName>
    <definedName name="l">'Country database'!$B$9</definedName>
    <definedName name="mu">'Country database'!$B$4</definedName>
    <definedName name="phi">'Set-up'!$B$39</definedName>
    <definedName name="_xlnm.Print_Area" localSheetId="7">'2005'!$A$1:$M$36</definedName>
    <definedName name="_xlnm.Print_Area" localSheetId="8">'2010'!$A$1:$M$36</definedName>
    <definedName name="_xlnm.Print_Area" localSheetId="10">'2020'!$A$1:$M$36</definedName>
    <definedName name="_xlnm.Print_Area" localSheetId="11">'2030'!$A$1:$P$36</definedName>
    <definedName name="_xlnm.Print_Area" localSheetId="5">'Set-up'!$A$1:$N$70</definedName>
    <definedName name="_xlnm.Print_Area" localSheetId="1">'Объяснение ячеек'!$A$1:$N$69</definedName>
    <definedName name="Solution_interval">'EPP model'!$Y$27</definedName>
    <definedName name="solver_adj" localSheetId="12" hidden="1">'EPP model'!$AB$28:$AB$29</definedName>
    <definedName name="solver_adj" localSheetId="5" hidden="1">'Set-up'!$B$36:$B$37,'Set-up'!$B$39</definedName>
    <definedName name="solver_cvg" localSheetId="12" hidden="1">0.0001</definedName>
    <definedName name="solver_cvg" localSheetId="5" hidden="1">0.0000001</definedName>
    <definedName name="solver_drv" localSheetId="12" hidden="1">1</definedName>
    <definedName name="solver_drv" localSheetId="5" hidden="1">1</definedName>
    <definedName name="solver_est" localSheetId="12" hidden="1">1</definedName>
    <definedName name="solver_est" localSheetId="5" hidden="1">2</definedName>
    <definedName name="solver_itr" localSheetId="12" hidden="1">100</definedName>
    <definedName name="solver_itr" localSheetId="5" hidden="1">1000</definedName>
    <definedName name="solver_lhs1" localSheetId="5" hidden="1">'Set-up'!$B$37</definedName>
    <definedName name="solver_lhs2" localSheetId="5" hidden="1">'Set-up'!$B$36</definedName>
    <definedName name="solver_lhs3" localSheetId="5" hidden="1">'Set-up'!$B$36</definedName>
    <definedName name="solver_lhs4" localSheetId="5" hidden="1">'Set-up'!$B$39</definedName>
    <definedName name="solver_lhs5" localSheetId="5" hidden="1">'Set-up'!$B$37</definedName>
    <definedName name="solver_lhs6" localSheetId="5" hidden="1">'Set-up'!$B$39</definedName>
    <definedName name="solver_lin" localSheetId="12" hidden="1">2</definedName>
    <definedName name="solver_lin" localSheetId="5" hidden="1">2</definedName>
    <definedName name="solver_neg" localSheetId="12" hidden="1">2</definedName>
    <definedName name="solver_neg" localSheetId="5" hidden="1">2</definedName>
    <definedName name="solver_num" localSheetId="12" hidden="1">0</definedName>
    <definedName name="solver_num" localSheetId="5" hidden="1">6</definedName>
    <definedName name="solver_nwt" localSheetId="12" hidden="1">1</definedName>
    <definedName name="solver_nwt" localSheetId="5" hidden="1">1</definedName>
    <definedName name="solver_opt" localSheetId="12" hidden="1">'EPP model'!$AE$28</definedName>
    <definedName name="solver_opt" localSheetId="5" hidden="1">'Set-up'!$B$40</definedName>
    <definedName name="solver_pre" localSheetId="12" hidden="1">0.000001</definedName>
    <definedName name="solver_pre" localSheetId="5" hidden="1">0.000000001</definedName>
    <definedName name="solver_rel1" localSheetId="5" hidden="1">1</definedName>
    <definedName name="solver_rel2" localSheetId="5" hidden="1">3</definedName>
    <definedName name="solver_rel3" localSheetId="5" hidden="1">1</definedName>
    <definedName name="solver_rel4" localSheetId="5" hidden="1">3</definedName>
    <definedName name="solver_rel5" localSheetId="5" hidden="1">3</definedName>
    <definedName name="solver_rel6" localSheetId="5" hidden="1">1</definedName>
    <definedName name="solver_rhs1" localSheetId="5" hidden="1">1</definedName>
    <definedName name="solver_rhs2" localSheetId="5" hidden="1">0.00001</definedName>
    <definedName name="solver_rhs3" localSheetId="5" hidden="1">500</definedName>
    <definedName name="solver_rhs4" localSheetId="5" hidden="1">-1000</definedName>
    <definedName name="solver_rhs5" localSheetId="5" hidden="1">0.0000001</definedName>
    <definedName name="solver_rhs6" localSheetId="5" hidden="1">10000</definedName>
    <definedName name="solver_scl" localSheetId="12" hidden="1">2</definedName>
    <definedName name="solver_scl" localSheetId="5" hidden="1">2</definedName>
    <definedName name="solver_sho" localSheetId="12" hidden="1">2</definedName>
    <definedName name="solver_sho" localSheetId="5" hidden="1">2</definedName>
    <definedName name="solver_tim" localSheetId="12" hidden="1">100</definedName>
    <definedName name="solver_tim" localSheetId="5" hidden="1">100</definedName>
    <definedName name="solver_tol" localSheetId="12" hidden="1">0.05</definedName>
    <definedName name="solver_tol" localSheetId="5" hidden="1">0.01</definedName>
    <definedName name="solver_typ" localSheetId="12" hidden="1">2</definedName>
    <definedName name="solver_typ" localSheetId="5" hidden="1">2</definedName>
    <definedName name="solver_val" localSheetId="12" hidden="1">0</definedName>
    <definedName name="solver_val" localSheetId="5" hidden="1">0</definedName>
    <definedName name="t0">'Set-up'!$B$38</definedName>
    <definedName name="v">'Country database'!$B$6</definedName>
  </definedNames>
  <calcPr fullCalcOnLoad="1"/>
</workbook>
</file>

<file path=xl/sharedStrings.xml><?xml version="1.0" encoding="utf-8"?>
<sst xmlns="http://schemas.openxmlformats.org/spreadsheetml/2006/main" count="728" uniqueCount="510">
  <si>
    <t>Prevalence</t>
  </si>
  <si>
    <t>SSE</t>
  </si>
  <si>
    <t>Low</t>
  </si>
  <si>
    <t>High</t>
  </si>
  <si>
    <t>Medium</t>
  </si>
  <si>
    <t>Slope of saturation curve</t>
  </si>
  <si>
    <t>2001-05</t>
  </si>
  <si>
    <t>2005-10</t>
  </si>
  <si>
    <t>2010-20</t>
  </si>
  <si>
    <t>2020-30</t>
  </si>
  <si>
    <t>Asia</t>
  </si>
  <si>
    <t>Country</t>
  </si>
  <si>
    <t>Malaysia</t>
  </si>
  <si>
    <t>Nepal</t>
  </si>
  <si>
    <t>Lebanon</t>
  </si>
  <si>
    <t>Papua New Guinea</t>
  </si>
  <si>
    <t>Philippines</t>
  </si>
  <si>
    <t>Singapore</t>
  </si>
  <si>
    <t>Sri Lanka</t>
  </si>
  <si>
    <t>Thailand</t>
  </si>
  <si>
    <t>Viet Nam</t>
  </si>
  <si>
    <t>Bangladesh</t>
  </si>
  <si>
    <t>Myanmar</t>
  </si>
  <si>
    <t>12.5*</t>
  </si>
  <si>
    <t>Cambodia</t>
  </si>
  <si>
    <t>China</t>
  </si>
  <si>
    <t>India</t>
  </si>
  <si>
    <t>Indonesia</t>
  </si>
  <si>
    <t>62.7%*</t>
  </si>
  <si>
    <t>47%*</t>
  </si>
  <si>
    <t>Argentina</t>
  </si>
  <si>
    <t>Bahamas</t>
  </si>
  <si>
    <t>Barbados</t>
  </si>
  <si>
    <t>Bolivia</t>
  </si>
  <si>
    <t>Brazil</t>
  </si>
  <si>
    <t>Chile</t>
  </si>
  <si>
    <t>Colombia</t>
  </si>
  <si>
    <t>Costa Rica</t>
  </si>
  <si>
    <t>Dominican Republic</t>
  </si>
  <si>
    <t>Ecuador</t>
  </si>
  <si>
    <t>El Salvador</t>
  </si>
  <si>
    <t>Guyana</t>
  </si>
  <si>
    <t>Honduras</t>
  </si>
  <si>
    <t>Jamaica</t>
  </si>
  <si>
    <t>Mexico</t>
  </si>
  <si>
    <t>Suriname</t>
  </si>
  <si>
    <t>Uruguay</t>
  </si>
  <si>
    <t>Jordan</t>
  </si>
  <si>
    <t>Kuwait</t>
  </si>
  <si>
    <t>Bahrain</t>
  </si>
  <si>
    <t>Oman</t>
  </si>
  <si>
    <t>Qatar</t>
  </si>
  <si>
    <t>Azerbaijan</t>
  </si>
  <si>
    <t>Armenia</t>
  </si>
  <si>
    <t>Belarus</t>
  </si>
  <si>
    <t>Bulgaria</t>
  </si>
  <si>
    <t>Croatia</t>
  </si>
  <si>
    <t>Estonia</t>
  </si>
  <si>
    <t>Latvia</t>
  </si>
  <si>
    <t>Poland</t>
  </si>
  <si>
    <t>7.8%*</t>
  </si>
  <si>
    <t>Romania</t>
  </si>
  <si>
    <t>Slovakia</t>
  </si>
  <si>
    <t>1.5%*</t>
  </si>
  <si>
    <t>Slovenia</t>
  </si>
  <si>
    <t>Ukraine</t>
  </si>
  <si>
    <t>XXXXX</t>
  </si>
  <si>
    <t>x</t>
  </si>
  <si>
    <t>2000-05</t>
  </si>
  <si>
    <t>X</t>
  </si>
  <si>
    <t>Z</t>
  </si>
  <si>
    <t>Y</t>
  </si>
  <si>
    <t>N</t>
  </si>
  <si>
    <t xml:space="preserve">B </t>
  </si>
  <si>
    <t>B-</t>
  </si>
  <si>
    <t>E</t>
  </si>
  <si>
    <t>r</t>
  </si>
  <si>
    <t>f</t>
  </si>
  <si>
    <t>lambda</t>
  </si>
  <si>
    <t>iota</t>
  </si>
  <si>
    <t>New</t>
  </si>
  <si>
    <t>AIDS</t>
  </si>
  <si>
    <t>Proportion</t>
  </si>
  <si>
    <t>Prev Perc</t>
  </si>
  <si>
    <t>t</t>
  </si>
  <si>
    <t>Not-at-risk</t>
  </si>
  <si>
    <t>At-risk</t>
  </si>
  <si>
    <t>Infected</t>
  </si>
  <si>
    <t>Pop</t>
  </si>
  <si>
    <t>Births</t>
  </si>
  <si>
    <t>HIV- births</t>
  </si>
  <si>
    <t>Entrants</t>
  </si>
  <si>
    <t>At-risk fraction</t>
  </si>
  <si>
    <t>Newly at risk</t>
  </si>
  <si>
    <t>Force of infection</t>
  </si>
  <si>
    <t>New HIV+</t>
  </si>
  <si>
    <t>Infections</t>
  </si>
  <si>
    <t>deaths</t>
  </si>
  <si>
    <t>at risk</t>
  </si>
  <si>
    <t>in at-risk</t>
  </si>
  <si>
    <t>not at risk</t>
  </si>
  <si>
    <t>Non AIDS mortality</t>
  </si>
  <si>
    <t>Births per adult</t>
  </si>
  <si>
    <t>Vertical transmission rate</t>
  </si>
  <si>
    <t>Fertility reduction due to HIV</t>
  </si>
  <si>
    <t>Adult population growth rate</t>
  </si>
  <si>
    <t>fo</t>
  </si>
  <si>
    <t>to</t>
  </si>
  <si>
    <t>phi</t>
  </si>
  <si>
    <t>Years</t>
  </si>
  <si>
    <t xml:space="preserve">Proportion </t>
  </si>
  <si>
    <t>Cumulative</t>
  </si>
  <si>
    <t>Since</t>
  </si>
  <si>
    <t>Dying from</t>
  </si>
  <si>
    <t>Infection</t>
  </si>
  <si>
    <t>Errors</t>
  </si>
  <si>
    <t>Survival to age 15</t>
  </si>
  <si>
    <t>Solution interval</t>
  </si>
  <si>
    <t xml:space="preserve">Input </t>
  </si>
  <si>
    <t>Prev</t>
  </si>
  <si>
    <t>EPP Input parameters</t>
  </si>
  <si>
    <t>Population 15+ in base year</t>
  </si>
  <si>
    <t>Afghanistan</t>
  </si>
  <si>
    <t>Africa</t>
  </si>
  <si>
    <t>Albania</t>
  </si>
  <si>
    <t>Algeria</t>
  </si>
  <si>
    <t>Angola</t>
  </si>
  <si>
    <t>Australia</t>
  </si>
  <si>
    <t>Australia/New Zealand</t>
  </si>
  <si>
    <t>Austria</t>
  </si>
  <si>
    <t>Belgium</t>
  </si>
  <si>
    <t>Belize</t>
  </si>
  <si>
    <t>Benin</t>
  </si>
  <si>
    <t>Bhutan</t>
  </si>
  <si>
    <t>Bosnia and Herzegovina</t>
  </si>
  <si>
    <t>Botswana</t>
  </si>
  <si>
    <t>Brunei Darussalam</t>
  </si>
  <si>
    <t>Burkina Faso</t>
  </si>
  <si>
    <t>Burundi</t>
  </si>
  <si>
    <t>Cameroon</t>
  </si>
  <si>
    <t>Canada</t>
  </si>
  <si>
    <t>Cape Verde</t>
  </si>
  <si>
    <t>Caribbean</t>
  </si>
  <si>
    <t>Central African Republic</t>
  </si>
  <si>
    <t>Central America</t>
  </si>
  <si>
    <t>Chad</t>
  </si>
  <si>
    <t>Channel Islands</t>
  </si>
  <si>
    <t>Comoros</t>
  </si>
  <si>
    <t>Congo</t>
  </si>
  <si>
    <t>Côte d'Ivoire</t>
  </si>
  <si>
    <t>Cuba</t>
  </si>
  <si>
    <t>Cyprus</t>
  </si>
  <si>
    <t>Czech Republic</t>
  </si>
  <si>
    <t>Dem. Peoples's Rep. of Korea</t>
  </si>
  <si>
    <t>Dem. Rep. of the Congo</t>
  </si>
  <si>
    <t>Denmark</t>
  </si>
  <si>
    <t>Djibouti</t>
  </si>
  <si>
    <t>East Timor</t>
  </si>
  <si>
    <t>Eastern Africa</t>
  </si>
  <si>
    <t>Eastern Asia</t>
  </si>
  <si>
    <t>Eastern Europe</t>
  </si>
  <si>
    <t>Egypt</t>
  </si>
  <si>
    <t>Equatorial Guinea</t>
  </si>
  <si>
    <t>Eritrea</t>
  </si>
  <si>
    <t>Ethiopia</t>
  </si>
  <si>
    <t>Europe</t>
  </si>
  <si>
    <t>Fiji</t>
  </si>
  <si>
    <t>Finland</t>
  </si>
  <si>
    <t>France</t>
  </si>
  <si>
    <t>French Guiana</t>
  </si>
  <si>
    <t>French Polynesia</t>
  </si>
  <si>
    <t>Gabon</t>
  </si>
  <si>
    <t>Gambia</t>
  </si>
  <si>
    <t>Georgia</t>
  </si>
  <si>
    <t>Germany</t>
  </si>
  <si>
    <t>Ghana</t>
  </si>
  <si>
    <t>Greece</t>
  </si>
  <si>
    <t>Guadeloupe</t>
  </si>
  <si>
    <t>Guam</t>
  </si>
  <si>
    <t>Guatemala</t>
  </si>
  <si>
    <t>Guinea</t>
  </si>
  <si>
    <t>Guinea-Bissau</t>
  </si>
  <si>
    <t>Haiti</t>
  </si>
  <si>
    <t>Hungary</t>
  </si>
  <si>
    <t>Iceland</t>
  </si>
  <si>
    <t>Iran (Islamic Republic of)</t>
  </si>
  <si>
    <t>Iraq</t>
  </si>
  <si>
    <t>Ireland</t>
  </si>
  <si>
    <t>Israel</t>
  </si>
  <si>
    <t>Italy</t>
  </si>
  <si>
    <t>Japan</t>
  </si>
  <si>
    <t>Kazakhstan</t>
  </si>
  <si>
    <t>Kenya</t>
  </si>
  <si>
    <t>Kyrgyzstan</t>
  </si>
  <si>
    <t>Lao People's Dem. Republic</t>
  </si>
  <si>
    <t>Latin America and Caribbean</t>
  </si>
  <si>
    <t>Lesotho</t>
  </si>
  <si>
    <t>Liberia</t>
  </si>
  <si>
    <t>Libyan Arab Jamahiriya</t>
  </si>
  <si>
    <t>Lithuania</t>
  </si>
  <si>
    <t>Luxembourg</t>
  </si>
  <si>
    <t>Madagascar</t>
  </si>
  <si>
    <t>Malawi</t>
  </si>
  <si>
    <t>Maldives</t>
  </si>
  <si>
    <t>Mali</t>
  </si>
  <si>
    <t>Malta</t>
  </si>
  <si>
    <t>Martinique</t>
  </si>
  <si>
    <t>Mauritania</t>
  </si>
  <si>
    <t>Mauritius</t>
  </si>
  <si>
    <t>Melanesia</t>
  </si>
  <si>
    <t>Micronesia</t>
  </si>
  <si>
    <t>Middle Africa</t>
  </si>
  <si>
    <t>Mongolia</t>
  </si>
  <si>
    <t>More developed regions</t>
  </si>
  <si>
    <t>Morocco</t>
  </si>
  <si>
    <t>Mozambique</t>
  </si>
  <si>
    <t>Namibia</t>
  </si>
  <si>
    <t>Netherlands</t>
  </si>
  <si>
    <t>Netherlands Antilles</t>
  </si>
  <si>
    <t>New Caledonia</t>
  </si>
  <si>
    <t>New Zealand</t>
  </si>
  <si>
    <t>Nicaragua</t>
  </si>
  <si>
    <t>Niger</t>
  </si>
  <si>
    <t>Nigeria</t>
  </si>
  <si>
    <t>Northern Africa</t>
  </si>
  <si>
    <t>Northern America</t>
  </si>
  <si>
    <t>Northern Europe</t>
  </si>
  <si>
    <t>Norway</t>
  </si>
  <si>
    <t>Occupied Palestinian Terr.</t>
  </si>
  <si>
    <t>Oceania</t>
  </si>
  <si>
    <t>Pakistan</t>
  </si>
  <si>
    <t>Panama</t>
  </si>
  <si>
    <t>Paraguay</t>
  </si>
  <si>
    <t>Peru</t>
  </si>
  <si>
    <t>Polynesia</t>
  </si>
  <si>
    <t>Portugal</t>
  </si>
  <si>
    <t>Puerto Rico</t>
  </si>
  <si>
    <t>Republic of Korea</t>
  </si>
  <si>
    <t>Republic of Moldova</t>
  </si>
  <si>
    <t>Reunion</t>
  </si>
  <si>
    <t>Russian Federation</t>
  </si>
  <si>
    <t>Rwanda</t>
  </si>
  <si>
    <t>Saint Lucia</t>
  </si>
  <si>
    <t>Samoa</t>
  </si>
  <si>
    <t>Saudi Arabia</t>
  </si>
  <si>
    <t>Senegal</t>
  </si>
  <si>
    <t>Sierra Leone</t>
  </si>
  <si>
    <t>Solomon Islands</t>
  </si>
  <si>
    <t>Somalia</t>
  </si>
  <si>
    <t>South Africa</t>
  </si>
  <si>
    <t>South America</t>
  </si>
  <si>
    <t>South-central Asia</t>
  </si>
  <si>
    <t>South-eastern Asia</t>
  </si>
  <si>
    <t>Southern Africa</t>
  </si>
  <si>
    <t>Southern Europe</t>
  </si>
  <si>
    <t>Spain</t>
  </si>
  <si>
    <t>Sub-Saharan Africa</t>
  </si>
  <si>
    <t>Sudan</t>
  </si>
  <si>
    <t>Swaziland</t>
  </si>
  <si>
    <t>Sweden</t>
  </si>
  <si>
    <t>Switzerland</t>
  </si>
  <si>
    <t>Syrian Arab Republic</t>
  </si>
  <si>
    <t>Tajikistan</t>
  </si>
  <si>
    <t>TFYR Macedonia</t>
  </si>
  <si>
    <t>Togo</t>
  </si>
  <si>
    <t>Trinidad and Tobago</t>
  </si>
  <si>
    <t>Tunisia</t>
  </si>
  <si>
    <t>Turkey</t>
  </si>
  <si>
    <t>Turkmenistan</t>
  </si>
  <si>
    <t>Uganda</t>
  </si>
  <si>
    <t>United Arab Emirates</t>
  </si>
  <si>
    <t>United Kingdom</t>
  </si>
  <si>
    <t>United Republic of Tanzania</t>
  </si>
  <si>
    <t>United States of America</t>
  </si>
  <si>
    <t>Uzbekistan</t>
  </si>
  <si>
    <t>Vanuatu</t>
  </si>
  <si>
    <t>Venezuela</t>
  </si>
  <si>
    <t>Western Africa</t>
  </si>
  <si>
    <t>Western Asia</t>
  </si>
  <si>
    <t>Western Europe</t>
  </si>
  <si>
    <t>Western Sahara</t>
  </si>
  <si>
    <t>Yemen</t>
  </si>
  <si>
    <t>Yugoslavia</t>
  </si>
  <si>
    <t>Zambia</t>
  </si>
  <si>
    <t>Zimbabwe</t>
  </si>
  <si>
    <t>Num</t>
  </si>
  <si>
    <t>GR</t>
  </si>
  <si>
    <t>Birth rate</t>
  </si>
  <si>
    <t>Survival to 15</t>
  </si>
  <si>
    <t>Non-AIDS mortality</t>
  </si>
  <si>
    <t>estimated female pop sizes low</t>
  </si>
  <si>
    <t>estimated female pop sizes high</t>
  </si>
  <si>
    <t>Процесс и технология модели</t>
  </si>
  <si>
    <t>Данная модель прогнозирования состоит из листа «Настройка», листов с годовыми оценками распространенности за 5 лет и листа результатов «Оценка распространенности среди взрослых».</t>
  </si>
  <si>
    <t>Все операции по введению данных и предположений производятся на листе «Настройка».  Данные и предположения, которые вводятся в ячейки этого листа,  автоматически связаны с листами оценки распространенности ВИЧ/СПИД по годам, чтобы получить оценки точечной распространенности за эти годы.</t>
  </si>
  <si>
    <t>Оценки на будущие годы производятся путем сопоставления значений кривой эпидемии "гамма"  (на листе «Настройка»)  с оценками точечной распространенности.</t>
  </si>
  <si>
    <t>Основные предположения:</t>
  </si>
  <si>
    <t>Текущий и будущий прирост распространенности среди взрослого населения могут определяться распространенностью ВИЧ/СПИД  в группах более высокого риска (ГБВР).</t>
  </si>
  <si>
    <t xml:space="preserve">В группах низкого риска не будет отмечается распространение инфекции; как правило, распространение инфекции будет происходит вследствие взаимодействия между группами низкого и </t>
  </si>
  <si>
    <t xml:space="preserve">и высокого риска (например, через партнеров ГВР). </t>
  </si>
  <si>
    <t>Если нет информации об оценке численности и уровнях низкой и высокой распространенности для ГБНР (например, партнеры ГВР), то</t>
  </si>
  <si>
    <t>в этом случае можно использовать данные о распространенности ВИЧ, полученные в ЖК для оценки остальных групп женщин невысокого риска  в городах и селах.</t>
  </si>
  <si>
    <t>Для подготовки оценки Вам нужно внести в лист "Настройка":</t>
  </si>
  <si>
    <t>1. Базовый год прогнозирования (например, 2003).</t>
  </si>
  <si>
    <t>2. Численность населения в возрасте 15-49 в 2003 году и ожидаемый показатель годового прироста населения за определенный период времени</t>
  </si>
  <si>
    <t>3. Процент городского населения</t>
  </si>
  <si>
    <t>4. Группы более высокого риска (ГБВР), оценку их численности, ожидаемый показатель годового прироста населения за определенный период времени, низкую и высокую распространенность в данной группе,</t>
  </si>
  <si>
    <t>максимальный пик распространенности ВИЧ и год, в котором ожидается достижение этого пика и оценочный процент женщин в этом населении.</t>
  </si>
  <si>
    <t>Примечание: Примеры возможных уровней пика распространенности для различных групп риска и времени достижения пика для трех различных типов эпидемии находятся на листе "Пример пика распространенности"</t>
  </si>
  <si>
    <t>5. Одна из двух предложенных вариантов  должен быть выбран в листе "Настройка":</t>
  </si>
  <si>
    <t xml:space="preserve">     a) Группы более низкого риска (ГБНР), оценка их численности, ожидаемый показатель годового прироста численности этих групп за определенный период времени, низкая и высокая распространенность в этих группах,</t>
  </si>
  <si>
    <t>ИЛИ</t>
  </si>
  <si>
    <t xml:space="preserve">     b) Низкая и высокая распространенность по данным ЖК в городах и селах, которая будет применена к  группам женщин невысокого риска, </t>
  </si>
  <si>
    <t>максимальный пик распространенности ВИЧ и год, в котором ожидается достижение этого пика.</t>
  </si>
  <si>
    <t>6. Начало эпидемии "t0".</t>
  </si>
  <si>
    <t>7. Установите "Phi" на 1000.</t>
  </si>
  <si>
    <t>8. Максимальные размеры численности групп высокого и низкого риска.</t>
  </si>
  <si>
    <t>9. Любые доступные оценки распространенности из предыдущих годов (с 1980 по 2002).</t>
  </si>
  <si>
    <t>Описание листов рабочего журнала</t>
  </si>
  <si>
    <t xml:space="preserve">Первый лист называется «Настройка». В его ячейки вводятся все данные и предположения.  </t>
  </si>
  <si>
    <t>В листе «Объяснение ячеек» разъясняется, для чего предназначена каждая ячейка и что следует добавить в лист «Настройка».</t>
  </si>
  <si>
    <t>На листе «Данные эпиднадзора» перечислены данные о самой высокой распространенности, отмеченной в разных странах и регионах среди групп высокого риска.  Эта базовая информация поможет определить максимальные значения распространеннсти ВИЧ/СПИДа.</t>
  </si>
  <si>
    <t xml:space="preserve">На листе под названием «Пример пика распространенности» показаны возможные максимальные (пиковые) значения распространенности и время их достижения для трех разных типов эпидемии. </t>
  </si>
  <si>
    <t>Пронумерованные листы (2003, 2005 и 2010) – это листы с результатами, содержащие оценки точечной распространенности за год.</t>
  </si>
  <si>
    <t>Лист под названием «Оценка распространенности среди взрослых» содержит оценку распространенности и прогноз в формате, подходящем для копирования в программу «Спектр».</t>
  </si>
  <si>
    <t xml:space="preserve">Лист под названием «Лист данных» предназначен для внесения тех данных, которые были использованы для составления прогноза, а также для указания источников этих данных. </t>
  </si>
  <si>
    <t>Название страны</t>
  </si>
  <si>
    <t>Вы можете указать здесь название страны</t>
  </si>
  <si>
    <t>Выберите страну из выпадающего списка</t>
  </si>
  <si>
    <t>Голубые ячейки  = в них нужно вносить Ваши значения.</t>
  </si>
  <si>
    <t>Базовый год</t>
  </si>
  <si>
    <t>Введите базовый год для размера населения (к примеру, 2001)</t>
  </si>
  <si>
    <t>Светло-зеленые ячейки = произвольные, Вы можете заполнять их или нет.</t>
  </si>
  <si>
    <t>Оранжевые ячейки = не менять! Результаты процесса построения кривой.</t>
  </si>
  <si>
    <t>Группы населения</t>
  </si>
  <si>
    <t>Численность населения в базовом году</t>
  </si>
  <si>
    <t>Годовой прирост населения</t>
  </si>
  <si>
    <t>Распространенность в базовом году</t>
  </si>
  <si>
    <t>Пик распространенности</t>
  </si>
  <si>
    <t>Год пика распространенности</t>
  </si>
  <si>
    <t>Процент (%) женщин в группе</t>
  </si>
  <si>
    <t>Предыдущие оценки национальной распространенности (%)</t>
  </si>
  <si>
    <t>Низкая</t>
  </si>
  <si>
    <t>Высокая</t>
  </si>
  <si>
    <t>Взрослое население региона (15-49)</t>
  </si>
  <si>
    <t>введите количество населения возраста 15-49 в базовом году</t>
  </si>
  <si>
    <t>Введите показатели годового прироста населения страны</t>
  </si>
  <si>
    <t>Год</t>
  </si>
  <si>
    <t>Распространенность</t>
  </si>
  <si>
    <t>% городского населения</t>
  </si>
  <si>
    <t>введите % городского населения</t>
  </si>
  <si>
    <t>В этих двух ячейках можно указать предыдущие оценки распространенности среди взрослого населения. Эти данные будут использованы для построения кривой, однако их заполнение не является обязательными.</t>
  </si>
  <si>
    <t>1. Группы более высокого риска (ГБВР)</t>
  </si>
  <si>
    <t>Здесь Вы вводите группы более высокого риска инфицирования. Обычно последние включают работников секс-бизнеса, мужчин, которые имеют секс с мужчинами, ПИН и другие группы населения, которые также могут подвергаться более высокому риску (к примеру, клиенты работников секс-бизнеса, люди с СПИ). Нужно также указывать численность взрослого населения.</t>
  </si>
  <si>
    <t>Здесь нужно ввести низкую и высокую оценки численности групп высокого риска.</t>
  </si>
  <si>
    <t>В этих ячейках следует указывать показатели прироста для групп риска. Если Вы считаете, что численность групп риска растет быстрее, чем общая численность населения, Вам следует указать более высокие показатели прироста этих групп. Для поддержания стабильного соотношения укажите одинаковые показатели прироста населения для групп как низкого, так и высокого риска.</t>
  </si>
  <si>
    <t>В этих ячейках указывается низкая и высокая оценка распространенности среди групп риска. Эти данные вместе с данными о размере населения позволят рассчитать оценку количества инфицированных в каждой из групп в 2001 году (см. лист "2001")</t>
  </si>
  <si>
    <t>Здесь Вы указываете пик уровня распространенности, которого, по Вашему мнению может достичь  группа. Помните, что это не наивысший уровень, а наивысшее среднее значение для всех групп высокого риска (к примеру, сельских и городских)</t>
  </si>
  <si>
    <t>Здесь указывается год, когда может быть достигнут пик. Годы могут быть разными для каждой группы риска.</t>
  </si>
  <si>
    <t>Здесь Вы указываете оценочный процент женщин в каждой группе риска</t>
  </si>
  <si>
    <t>2. Группы более низкого риска (ГБНР), которые пока не относятся к ГБВР</t>
  </si>
  <si>
    <t xml:space="preserve">Выберите один. Введите данные, приведенные ниже. </t>
  </si>
  <si>
    <t>Выберите один:</t>
  </si>
  <si>
    <t>Партнеры</t>
  </si>
  <si>
    <t>Данные ЖК</t>
  </si>
  <si>
    <t>a. Партнеры ГБВР</t>
  </si>
  <si>
    <t>Включите данные:</t>
  </si>
  <si>
    <t>Здесь нужно ввести низкую и высокую оценки численности групп низкого риска.</t>
  </si>
  <si>
    <t>То же, что и выше для партнеров ГВР</t>
  </si>
  <si>
    <t xml:space="preserve"> a. о партнерах ГБВР</t>
  </si>
  <si>
    <t>b. Данные ЖК по женщинам ГНР</t>
  </si>
  <si>
    <t>Городские женщины ГНР</t>
  </si>
  <si>
    <t>Рассчитает численность женской ГНР, основываясь на % городского населения, приведенном в ячейке B7.</t>
  </si>
  <si>
    <t>То же, что и выше для ДЖК</t>
  </si>
  <si>
    <t>Сельские женщины ГНР</t>
  </si>
  <si>
    <t>Путем активизации данной ячейки вы можете возобновить блокирование листа</t>
  </si>
  <si>
    <t xml:space="preserve">Вы активизируете данную ячейку и потом выбираете "Помощник" в меню "Сервис". Если помощник отсутствует, выберите "Надстройки" и затем выберите "Помощник". Затем возобновите блокирование листа. </t>
  </si>
  <si>
    <t>Параметры построения кривой</t>
  </si>
  <si>
    <t>Введите год, когда по Вашему мнению началась эпидемия</t>
  </si>
  <si>
    <t>Национальной распространенность ВИЧ среди взрослого населения</t>
  </si>
  <si>
    <t>Максимальные размеры групп населения</t>
  </si>
  <si>
    <t>ПИН</t>
  </si>
  <si>
    <t>Введите значения для наибольшей пропорции каждой группы риска в общей численности взрослого населения. Это не лимитирует численности группы, но если численность любой группы риска превысит это значение в 2010 г., это приведет к появлению предупреждения вверху листа Настройка.</t>
  </si>
  <si>
    <t xml:space="preserve">РСБ </t>
  </si>
  <si>
    <t>МСМ</t>
  </si>
  <si>
    <t>СПИ - M</t>
  </si>
  <si>
    <t>СПИ - Ж</t>
  </si>
  <si>
    <t>Клиенты РСБ</t>
  </si>
  <si>
    <t>Дополнительная ГБВР1</t>
  </si>
  <si>
    <t>Дополнительная ГБВР2</t>
  </si>
  <si>
    <t>Партнеры ПИН</t>
  </si>
  <si>
    <t xml:space="preserve">Партнеры клиентов </t>
  </si>
  <si>
    <t>Партнеры МСМ</t>
  </si>
  <si>
    <t>Дополнительная ГБНР1</t>
  </si>
  <si>
    <t>Дополнительная ГБНР2</t>
  </si>
  <si>
    <t>Дополнительная ГБНР3</t>
  </si>
  <si>
    <t>Проверка численности</t>
  </si>
  <si>
    <t>Проверка максимальных размеров групп</t>
  </si>
  <si>
    <t>год</t>
  </si>
  <si>
    <t>% групп риска инфицирования от низкого до высокого</t>
  </si>
  <si>
    <t>РСБ</t>
  </si>
  <si>
    <t>Дополнительная ГБВР3</t>
  </si>
  <si>
    <t>Дополнительная ГБВР4</t>
  </si>
  <si>
    <t>Женщины-партнеры МСМ</t>
  </si>
  <si>
    <t>Партнеры клиентов РСБ</t>
  </si>
  <si>
    <t>Ниже перечислены наибольшие значения для разных групп риска по разным странам (дозорный эпиднадзор). Эти данные могут не отражать истинный уровень распространенности ВИЧ/СПИД в данной стране</t>
  </si>
  <si>
    <t>и не представляют собой уровень распространенности среди населения. Они отражают распространенность на  определенных участках.</t>
  </si>
  <si>
    <t>Следует также иметь в виду, что в некоторых странах эпидемия находится на начальных стадиях, так что эти значения не следует рассматривать как пиковый уровень.</t>
  </si>
  <si>
    <t xml:space="preserve">Эту информацию следует использовать для того, чтобы выверять возможный пиковый уровень в стране, по которой Вы строите модель. </t>
  </si>
  <si>
    <t xml:space="preserve">Эти данные не являются исчерпывающими, однако они стали доступными в Базе данных по эпиднадзору за ВИЧ/СПИДом (Бюро переписей США) с июня 2001 года. </t>
  </si>
  <si>
    <t>Азия</t>
  </si>
  <si>
    <t>Страна</t>
  </si>
  <si>
    <t>пациенты ИППП</t>
  </si>
  <si>
    <t>Бангладеш</t>
  </si>
  <si>
    <t>Камбоджа</t>
  </si>
  <si>
    <t>Китай</t>
  </si>
  <si>
    <t>Индия</t>
  </si>
  <si>
    <t>Индонезия</t>
  </si>
  <si>
    <t>Лаос</t>
  </si>
  <si>
    <t>Малайзия</t>
  </si>
  <si>
    <t>Мьянма</t>
  </si>
  <si>
    <t>Непал</t>
  </si>
  <si>
    <t>Папуа-Новая Гвинея</t>
  </si>
  <si>
    <t>Филиппины</t>
  </si>
  <si>
    <t>Сингапур</t>
  </si>
  <si>
    <t>Шри-Ланка</t>
  </si>
  <si>
    <t>Таиланд</t>
  </si>
  <si>
    <t>Вьетнам</t>
  </si>
  <si>
    <t xml:space="preserve">* так помечены наивысшие медианные значения для страны или распространенность по данным  национального исследования </t>
  </si>
  <si>
    <t>Латинская Америка и страны Карибского бассейна</t>
  </si>
  <si>
    <t>Аргентина</t>
  </si>
  <si>
    <t>Багамы</t>
  </si>
  <si>
    <t>Барбадос</t>
  </si>
  <si>
    <t>Боливия</t>
  </si>
  <si>
    <t>Бразилия</t>
  </si>
  <si>
    <t>Чили</t>
  </si>
  <si>
    <t>Колумбия</t>
  </si>
  <si>
    <t>Коста-Рика</t>
  </si>
  <si>
    <t>Доминиканская Республика</t>
  </si>
  <si>
    <t>Эквадор</t>
  </si>
  <si>
    <t>Сальвадор</t>
  </si>
  <si>
    <t>Гайана</t>
  </si>
  <si>
    <t>Гондурас</t>
  </si>
  <si>
    <t>Ямайка</t>
  </si>
  <si>
    <t>Мексика</t>
  </si>
  <si>
    <t>Суринам</t>
  </si>
  <si>
    <t>Уругвай</t>
  </si>
  <si>
    <t>Северная Африка и Ближний Восток</t>
  </si>
  <si>
    <t>Бахрейн</t>
  </si>
  <si>
    <t>Иран</t>
  </si>
  <si>
    <t>Иордания</t>
  </si>
  <si>
    <t>Ливан</t>
  </si>
  <si>
    <t>Кувейт</t>
  </si>
  <si>
    <t>Оман</t>
  </si>
  <si>
    <t>Катар</t>
  </si>
  <si>
    <t>Сирия</t>
  </si>
  <si>
    <t>Восточная Европа и Центральная Азия</t>
  </si>
  <si>
    <t>Азербайджан</t>
  </si>
  <si>
    <t>Армения</t>
  </si>
  <si>
    <t>Беларусь</t>
  </si>
  <si>
    <t>Болгария</t>
  </si>
  <si>
    <t>Чешская Республика</t>
  </si>
  <si>
    <t>Хорватия</t>
  </si>
  <si>
    <t>Эстония</t>
  </si>
  <si>
    <t>Казахстан</t>
  </si>
  <si>
    <t>Латвия</t>
  </si>
  <si>
    <t>Польша</t>
  </si>
  <si>
    <t>Румыния</t>
  </si>
  <si>
    <t>Российская Федерация</t>
  </si>
  <si>
    <t>Словакия</t>
  </si>
  <si>
    <t>Словения</t>
  </si>
  <si>
    <t>Украина</t>
  </si>
  <si>
    <t>Низкий риск и рост</t>
  </si>
  <si>
    <t>Средний риск и рост</t>
  </si>
  <si>
    <t>Высокий риск и рост</t>
  </si>
  <si>
    <t>ИППП - М</t>
  </si>
  <si>
    <t>ИППП - Ж</t>
  </si>
  <si>
    <t>Численность населения</t>
  </si>
  <si>
    <t>ЛЖВС</t>
  </si>
  <si>
    <t>Средняя</t>
  </si>
  <si>
    <t>(Низкая числ-ть насел-я x Низкая распростр-ть)</t>
  </si>
  <si>
    <t>(Низкая числ-ть насел-я x Средняя распростр-ть)</t>
  </si>
  <si>
    <t>(Низкая числ-ть насел-я x Высокая распростр-ть)</t>
  </si>
  <si>
    <t>(Высокая числ-ть насел-я x Низкая распростр-ть)</t>
  </si>
  <si>
    <t>(Высокая числ-ть насел-я x Средняя распростр-ть)</t>
  </si>
  <si>
    <t>(Высокая числ-ть насел-я x Высокая распростр-ть)</t>
  </si>
  <si>
    <t>Средняя численность ЛЖВС</t>
  </si>
  <si>
    <t>2.  Группы более низкого риска (ГБНР), которые пока не относятся к ГБВР</t>
  </si>
  <si>
    <t>ввод обязателен</t>
  </si>
  <si>
    <t>ввод произволен</t>
  </si>
  <si>
    <t>вывод</t>
  </si>
  <si>
    <t>Максимальный процент групп населения</t>
  </si>
  <si>
    <t>Проверка (сравнение) численности</t>
  </si>
  <si>
    <t>Всего женщин группы низкого риска</t>
  </si>
  <si>
    <t>Всего группа низкого риска</t>
  </si>
  <si>
    <t>ИТОГО</t>
  </si>
  <si>
    <t>Население 15-49</t>
  </si>
  <si>
    <t>Всего партнеров групп более  высокого риска</t>
  </si>
  <si>
    <t>b. Данные ЖК по женщинам группы низкого риска</t>
  </si>
  <si>
    <t xml:space="preserve">2. Группы более  низкого риска </t>
  </si>
  <si>
    <t>a. Партнеры групп более высокого риска</t>
  </si>
  <si>
    <t>1. Группы более высокого риска</t>
  </si>
  <si>
    <t>Всего группа более высокого риска</t>
  </si>
  <si>
    <t>Максимальный процент групп населения из "Настройки"</t>
  </si>
  <si>
    <t>Процент от общей численности населения (15-49)</t>
  </si>
  <si>
    <t>Данные для переноса в "Спектр"</t>
  </si>
  <si>
    <t xml:space="preserve">1. Для того, чтобы скопировать прогноз распространенности в "Спектр", выберите оценку распространенности (строка 11) за соответствующий год, и затем выберите "Правка" и "Копировать". </t>
  </si>
  <si>
    <t>(Вам не нужно копировать все годы, если прогноз "Спектр" не захватывает период до 2030 года; скопируйте только те годы, которые используются в прогнозе "Спектр"). </t>
  </si>
  <si>
    <t xml:space="preserve">2. Затем запустите "Спектр" и выберите "Правка", "СПИД", "Эпидемиология". Затем выберите первый год в редакторе распространенности и выберите "Правка" и "Вставить". </t>
  </si>
  <si>
    <t>Примечание: Прогнозы, выделенные желтым цветом соответствуют годам спустя 5 лет от базового года, поэтому не считаются надежными. The projections in yellow are beyond 5 years from the base year and are not considered to be reliable.</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</si>
</sst>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_(* \(#,##0\);_(* &quot;-&quot;??_);_(@_)"/>
    <numFmt numFmtId="181" formatCode="#,##0.000"/>
    <numFmt numFmtId="182" formatCode="#,##0.0"/>
    <numFmt numFmtId="183" formatCode="_-* #,##0.0_-;\-* #,##0.0_-;_-* &quot;-&quot;?_-;_-@_-"/>
    <numFmt numFmtId="184" formatCode="0.0000"/>
    <numFmt numFmtId="185" formatCode="0.00000"/>
    <numFmt numFmtId="186" formatCode="_(* #,##0.000_);_(* \(#,##0.000\);_(* &quot;-&quot;??_);_(@_)"/>
    <numFmt numFmtId="187" formatCode="_(* #,##0.0000_);_(* \(#,##0.0000\);_(* &quot;-&quot;??_);_(@_)"/>
    <numFmt numFmtId="188" formatCode="General_)"/>
    <numFmt numFmtId="189" formatCode="_(* #,##0.00000_);_(* \(#,##0.00000\);_(* &quot;-&quot;??_);_(@_)"/>
    <numFmt numFmtId="190" formatCode="_(* #,##0.0_);_(* \(#,##0.0\);_(* &quot;-&quot;??_);_(@_)"/>
    <numFmt numFmtId="191" formatCode="0.0%"/>
    <numFmt numFmtId="192" formatCode="0_);\(0\)"/>
    <numFmt numFmtId="193" formatCode="0.00000000"/>
    <numFmt numFmtId="194" formatCode="0.0000000"/>
    <numFmt numFmtId="195" formatCode="0.000000"/>
    <numFmt numFmtId="196" formatCode="0.000"/>
    <numFmt numFmtId="197" formatCode="0.000%"/>
    <numFmt numFmtId="198" formatCode="_(&quot;$&quot;* #,##0.000_);_(&quot;$&quot;* \(#,##0.000\);_(&quot;$&quot;* &quot;-&quot;???_);_(@_)"/>
    <numFmt numFmtId="199" formatCode="_(* #,##0.000_);_(* \(#,##0.000\);_(* &quot;-&quot;???_);_(@_)"/>
    <numFmt numFmtId="200" formatCode="_(* #,##0.00_);_(* \(#,##0.00\);_(* &quot;-&quot;???_);_(@_)"/>
    <numFmt numFmtId="201" formatCode="_(* #,##0.0000_);_(* \(#,##0.0000\);_(* &quot;-&quot;???_);_(@_)"/>
    <numFmt numFmtId="202" formatCode="_(* #,##0.00000_);_(* \(#,##0.00000\);_(* &quot;-&quot;???_);_(@_)"/>
    <numFmt numFmtId="203" formatCode="[$-409]dddd\,\ mmmm\ dd\,\ yyyy"/>
    <numFmt numFmtId="204" formatCode="#,##0.0_);\(#,##0.0\)"/>
    <numFmt numFmtId="205" formatCode="#,##0.000_);\(#,##0.000\)"/>
    <numFmt numFmtId="206" formatCode="#,##0.0000_);\(#,##0.0000\)"/>
    <numFmt numFmtId="207" formatCode="0.0000%"/>
    <numFmt numFmtId="208" formatCode="_(* #,##0.000000_);_(* \(#,##0.000000\);_(* &quot;-&quot;??_);_(@_)"/>
    <numFmt numFmtId="209" formatCode="_(* #,##0.0000000_);_(* \(#,##0.0000000\);_(* &quot;-&quot;??_);_(@_)"/>
    <numFmt numFmtId="210" formatCode="_(* #,##0.00000000_);_(* \(#,##0.00000000\);_(* &quot;-&quot;??_);_(@_)"/>
    <numFmt numFmtId="211" formatCode="0.0"/>
    <numFmt numFmtId="212" formatCode="0.00_);\(0.00\)"/>
    <numFmt numFmtId="213" formatCode="&quot;Yes&quot;;&quot;Yes&quot;;&quot;No&quot;"/>
    <numFmt numFmtId="214" formatCode="&quot;True&quot;;&quot;True&quot;;&quot;False&quot;"/>
    <numFmt numFmtId="215" formatCode="&quot;On&quot;;&quot;On&quot;;&quot;Off&quot;"/>
    <numFmt numFmtId="216" formatCode="[$€-2]\ #,##0.00_);[Red]\([$€-2]\ #,##0.00\)"/>
    <numFmt numFmtId="217" formatCode="_(* #,##0.0000_);_(* \(#,##0.0000\);_(* &quot;-&quot;????_);_(@_)"/>
    <numFmt numFmtId="218" formatCode="0.000000000"/>
    <numFmt numFmtId="219" formatCode="0.0000000000"/>
    <numFmt numFmtId="220" formatCode="0.00000000000"/>
    <numFmt numFmtId="221" formatCode="0.000000000000"/>
    <numFmt numFmtId="222" formatCode="_(* #,##0.0_);_(* \(#,##0.0\);_(* &quot;-&quot;?_);_(@_)"/>
  </numFmts>
  <fonts count="48">
    <font>
      <sz val="10"/>
      <name val="Arial"/>
      <family val="0"/>
    </font>
    <font>
      <b/>
      <sz val="16"/>
      <name val="Tahoma"/>
      <family val="2"/>
    </font>
    <font>
      <b/>
      <sz val="8"/>
      <name val="Tahoma"/>
      <family val="2"/>
    </font>
    <font>
      <i/>
      <sz val="8"/>
      <name val="Tahoma"/>
      <family val="2"/>
    </font>
    <font>
      <b/>
      <sz val="16"/>
      <name val="Arial"/>
      <family val="2"/>
    </font>
    <font>
      <b/>
      <sz val="9"/>
      <name val="Arial Narrow"/>
      <family val="2"/>
    </font>
    <font>
      <b/>
      <i/>
      <sz val="8"/>
      <name val="Tahoma"/>
      <family val="2"/>
    </font>
    <font>
      <sz val="8"/>
      <name val="Tahoma"/>
      <family val="2"/>
    </font>
    <font>
      <sz val="9"/>
      <name val="Arial Narrow"/>
      <family val="2"/>
    </font>
    <font>
      <b/>
      <sz val="10"/>
      <name val="Arial"/>
      <family val="2"/>
    </font>
    <font>
      <b/>
      <sz val="3.5"/>
      <name val="Arial"/>
      <family val="0"/>
    </font>
    <font>
      <sz val="3"/>
      <name val="Arial"/>
      <family val="0"/>
    </font>
    <font>
      <u val="single"/>
      <sz val="10"/>
      <color indexed="12"/>
      <name val="Arial"/>
      <family val="0"/>
    </font>
    <font>
      <u val="single"/>
      <sz val="10"/>
      <color indexed="36"/>
      <name val="Arial"/>
      <family val="0"/>
    </font>
    <font>
      <sz val="10"/>
      <name val="Arial Narrow"/>
      <family val="2"/>
    </font>
    <font>
      <sz val="8"/>
      <name val="Arial"/>
      <family val="0"/>
    </font>
    <font>
      <b/>
      <sz val="12"/>
      <name val="Arial Narrow"/>
      <family val="2"/>
    </font>
    <font>
      <b/>
      <sz val="8"/>
      <name val="Arial"/>
      <family val="2"/>
    </font>
    <font>
      <b/>
      <sz val="8"/>
      <color indexed="12"/>
      <name val="Arial"/>
      <family val="2"/>
    </font>
    <font>
      <b/>
      <i/>
      <sz val="8"/>
      <name val="Arial"/>
      <family val="2"/>
    </font>
    <font>
      <b/>
      <sz val="8"/>
      <color indexed="10"/>
      <name val="Arial"/>
      <family val="2"/>
    </font>
    <font>
      <b/>
      <sz val="8"/>
      <color indexed="10"/>
      <name val="Tahoma"/>
      <family val="2"/>
    </font>
    <font>
      <b/>
      <i/>
      <sz val="9"/>
      <name val="Arial"/>
      <family val="2"/>
    </font>
    <font>
      <b/>
      <sz val="7"/>
      <name val="Tahoma"/>
      <family val="2"/>
    </font>
    <font>
      <b/>
      <sz val="7"/>
      <name val="Arial Narrow"/>
      <family val="2"/>
    </font>
    <font>
      <b/>
      <sz val="7"/>
      <name val="Arial"/>
      <family val="2"/>
    </font>
    <font>
      <b/>
      <sz val="8"/>
      <color indexed="17"/>
      <name val="Arial"/>
      <family val="2"/>
    </font>
    <font>
      <b/>
      <sz val="10"/>
      <name val="Arial Narrow"/>
      <family val="2"/>
    </font>
    <font>
      <i/>
      <sz val="10"/>
      <name val="Arial"/>
      <family val="2"/>
    </font>
    <font>
      <b/>
      <sz val="12"/>
      <name val="Arial"/>
      <family val="2"/>
    </font>
    <font>
      <sz val="19.75"/>
      <name val="Arial"/>
      <family val="0"/>
    </font>
    <font>
      <sz val="12"/>
      <name val="Arial"/>
      <family val="2"/>
    </font>
    <font>
      <sz val="9"/>
      <color indexed="8"/>
      <name val="Arial"/>
      <family val="0"/>
    </font>
    <font>
      <sz val="10"/>
      <color indexed="8"/>
      <name val="MS Sans Serif"/>
      <family val="0"/>
    </font>
    <font>
      <i/>
      <sz val="9"/>
      <name val="Arial"/>
      <family val="2"/>
    </font>
    <font>
      <b/>
      <sz val="8"/>
      <color indexed="12"/>
      <name val="Tahoma"/>
      <family val="2"/>
    </font>
    <font>
      <b/>
      <sz val="11"/>
      <name val="Arial"/>
      <family val="2"/>
    </font>
    <font>
      <sz val="11"/>
      <name val="Arial"/>
      <family val="0"/>
    </font>
    <font>
      <b/>
      <sz val="11"/>
      <color indexed="12"/>
      <name val="Arial"/>
      <family val="2"/>
    </font>
    <font>
      <b/>
      <i/>
      <sz val="11"/>
      <name val="Arial"/>
      <family val="2"/>
    </font>
    <font>
      <b/>
      <sz val="11"/>
      <color indexed="17"/>
      <name val="Arial"/>
      <family val="2"/>
    </font>
    <font>
      <b/>
      <sz val="11"/>
      <color indexed="10"/>
      <name val="Arial"/>
      <family val="2"/>
    </font>
    <font>
      <i/>
      <sz val="11"/>
      <name val="Arial"/>
      <family val="2"/>
    </font>
    <font>
      <sz val="11"/>
      <name val="Arial Narrow"/>
      <family val="2"/>
    </font>
    <font>
      <sz val="11"/>
      <name val="Tahoma"/>
      <family val="2"/>
    </font>
    <font>
      <b/>
      <i/>
      <u val="single"/>
      <sz val="10"/>
      <name val="Arial"/>
      <family val="2"/>
    </font>
    <font>
      <i/>
      <sz val="10"/>
      <name val="Arial Narrow"/>
      <family val="2"/>
    </font>
    <font>
      <b/>
      <sz val="10"/>
      <color indexed="10"/>
      <name val="Arial"/>
      <family val="2"/>
    </font>
  </fonts>
  <fills count="11">
    <fill>
      <patternFill/>
    </fill>
    <fill>
      <patternFill patternType="gray125"/>
    </fill>
    <fill>
      <patternFill patternType="solid">
        <fgColor indexed="43"/>
        <bgColor indexed="64"/>
      </patternFill>
    </fill>
    <fill>
      <patternFill patternType="solid">
        <fgColor indexed="44"/>
        <bgColor indexed="64"/>
      </patternFill>
    </fill>
    <fill>
      <patternFill patternType="solid">
        <fgColor indexed="46"/>
        <bgColor indexed="64"/>
      </patternFill>
    </fill>
    <fill>
      <patternFill patternType="solid">
        <fgColor indexed="53"/>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51"/>
        <bgColor indexed="64"/>
      </patternFill>
    </fill>
  </fills>
  <borders count="29">
    <border>
      <left/>
      <right/>
      <top/>
      <bottom/>
      <diagonal/>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style="thin"/>
      <top style="thin"/>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33" fillId="0" borderId="0">
      <alignment/>
      <protection/>
    </xf>
    <xf numFmtId="9" fontId="0" fillId="0" borderId="0" applyFont="0" applyFill="0" applyBorder="0" applyAlignment="0" applyProtection="0"/>
  </cellStyleXfs>
  <cellXfs count="586">
    <xf numFmtId="0" fontId="0" fillId="0" borderId="0" xfId="0" applyAlignment="1">
      <alignment/>
    </xf>
    <xf numFmtId="0" fontId="5" fillId="0" borderId="0" xfId="0" applyFont="1" applyAlignment="1">
      <alignment horizontal="center" wrapText="1"/>
    </xf>
    <xf numFmtId="0" fontId="6" fillId="0" borderId="0" xfId="0" applyFont="1" applyFill="1" applyBorder="1" applyAlignment="1">
      <alignment horizontal="left" vertical="center" wrapText="1"/>
    </xf>
    <xf numFmtId="0" fontId="7" fillId="0" borderId="0" xfId="0" applyFont="1" applyAlignment="1">
      <alignment horizontal="right" indent="1"/>
    </xf>
    <xf numFmtId="0" fontId="7" fillId="0" borderId="0" xfId="0" applyFont="1" applyAlignment="1">
      <alignment/>
    </xf>
    <xf numFmtId="3" fontId="7" fillId="0" borderId="0" xfId="0" applyNumberFormat="1" applyFont="1" applyAlignment="1">
      <alignment horizontal="right" vertical="center" indent="1"/>
    </xf>
    <xf numFmtId="184" fontId="7" fillId="0" borderId="0" xfId="17" applyNumberFormat="1" applyFont="1" applyFill="1" applyAlignment="1">
      <alignment horizontal="right" vertical="center" indent="1"/>
    </xf>
    <xf numFmtId="3" fontId="7" fillId="0" borderId="0" xfId="0" applyNumberFormat="1" applyFont="1" applyFill="1" applyAlignment="1">
      <alignment horizontal="right" vertical="center" indent="1"/>
    </xf>
    <xf numFmtId="3" fontId="2" fillId="0" borderId="0" xfId="0" applyNumberFormat="1" applyFont="1" applyFill="1" applyAlignment="1">
      <alignment horizontal="right" vertical="center" indent="1"/>
    </xf>
    <xf numFmtId="180" fontId="7" fillId="0" borderId="0" xfId="17" applyNumberFormat="1" applyFont="1" applyFill="1" applyAlignment="1">
      <alignment horizontal="right" vertical="center" indent="1"/>
    </xf>
    <xf numFmtId="0" fontId="7" fillId="0" borderId="0" xfId="0" applyFont="1" applyAlignment="1">
      <alignment horizontal="right" vertical="center" indent="1"/>
    </xf>
    <xf numFmtId="180" fontId="7" fillId="0" borderId="0" xfId="0" applyNumberFormat="1" applyFont="1" applyAlignment="1">
      <alignment horizontal="right" vertical="center" indent="1"/>
    </xf>
    <xf numFmtId="180" fontId="7" fillId="0" borderId="0" xfId="0" applyNumberFormat="1" applyFont="1" applyFill="1" applyAlignment="1">
      <alignment horizontal="right" vertical="center" indent="1"/>
    </xf>
    <xf numFmtId="0" fontId="7" fillId="0" borderId="1" xfId="0" applyFont="1" applyBorder="1" applyAlignment="1">
      <alignment horizontal="right" vertical="center" indent="1"/>
    </xf>
    <xf numFmtId="180" fontId="7" fillId="0" borderId="1" xfId="0" applyNumberFormat="1" applyFont="1" applyBorder="1" applyAlignment="1">
      <alignment horizontal="right" vertical="center" indent="1"/>
    </xf>
    <xf numFmtId="180" fontId="7" fillId="0" borderId="1" xfId="0" applyNumberFormat="1" applyFont="1" applyFill="1" applyBorder="1" applyAlignment="1">
      <alignment horizontal="right" vertical="center" indent="1"/>
    </xf>
    <xf numFmtId="43" fontId="0" fillId="0" borderId="0" xfId="15" applyAlignment="1">
      <alignment/>
    </xf>
    <xf numFmtId="0" fontId="9" fillId="0" borderId="0" xfId="0" applyFont="1" applyAlignment="1">
      <alignment horizontal="center"/>
    </xf>
    <xf numFmtId="190" fontId="0" fillId="0" borderId="0" xfId="15" applyNumberFormat="1" applyAlignment="1">
      <alignment/>
    </xf>
    <xf numFmtId="1" fontId="2" fillId="0" borderId="0" xfId="0" applyNumberFormat="1" applyFont="1" applyFill="1" applyAlignment="1">
      <alignment horizontal="right" vertical="center" indent="1"/>
    </xf>
    <xf numFmtId="0" fontId="9" fillId="2" borderId="2" xfId="0" applyFont="1" applyFill="1" applyBorder="1" applyAlignment="1">
      <alignment horizontal="center" wrapText="1"/>
    </xf>
    <xf numFmtId="0" fontId="9" fillId="2" borderId="3" xfId="0" applyFont="1" applyFill="1" applyBorder="1" applyAlignment="1">
      <alignment/>
    </xf>
    <xf numFmtId="0" fontId="9" fillId="3" borderId="0" xfId="0" applyFont="1" applyFill="1" applyAlignment="1">
      <alignment/>
    </xf>
    <xf numFmtId="0" fontId="14" fillId="0" borderId="0" xfId="0" applyFont="1" applyAlignment="1">
      <alignment/>
    </xf>
    <xf numFmtId="0" fontId="0" fillId="0" borderId="4" xfId="0" applyBorder="1" applyAlignment="1">
      <alignment/>
    </xf>
    <xf numFmtId="0" fontId="14" fillId="0" borderId="4" xfId="0" applyFont="1" applyBorder="1" applyAlignment="1">
      <alignment wrapText="1"/>
    </xf>
    <xf numFmtId="0" fontId="9" fillId="0" borderId="0" xfId="0" applyFont="1" applyBorder="1" applyAlignment="1">
      <alignment horizontal="center"/>
    </xf>
    <xf numFmtId="0" fontId="0" fillId="0" borderId="0" xfId="0" applyBorder="1" applyAlignment="1">
      <alignment/>
    </xf>
    <xf numFmtId="0" fontId="14" fillId="0" borderId="4" xfId="0" applyFont="1" applyBorder="1" applyAlignment="1">
      <alignment/>
    </xf>
    <xf numFmtId="0" fontId="14" fillId="0" borderId="0" xfId="0" applyFont="1" applyFill="1" applyBorder="1" applyAlignment="1">
      <alignment/>
    </xf>
    <xf numFmtId="0" fontId="14" fillId="0" borderId="0" xfId="0" applyFont="1" applyFill="1" applyBorder="1" applyAlignment="1">
      <alignment wrapText="1"/>
    </xf>
    <xf numFmtId="0" fontId="14" fillId="0" borderId="0" xfId="0" applyFont="1" applyFill="1" applyBorder="1" applyAlignment="1">
      <alignment horizontal="center"/>
    </xf>
    <xf numFmtId="10" fontId="14" fillId="0" borderId="0" xfId="0" applyNumberFormat="1" applyFont="1" applyFill="1" applyBorder="1" applyAlignment="1">
      <alignment horizontal="center"/>
    </xf>
    <xf numFmtId="9" fontId="14" fillId="0" borderId="0" xfId="0" applyNumberFormat="1" applyFont="1" applyFill="1" applyBorder="1" applyAlignment="1">
      <alignment horizontal="center"/>
    </xf>
    <xf numFmtId="191" fontId="14" fillId="0" borderId="0" xfId="0" applyNumberFormat="1" applyFont="1" applyFill="1" applyBorder="1" applyAlignment="1">
      <alignment horizontal="center"/>
    </xf>
    <xf numFmtId="0" fontId="14" fillId="0" borderId="4" xfId="0" applyFont="1" applyFill="1" applyBorder="1" applyAlignment="1">
      <alignment/>
    </xf>
    <xf numFmtId="0" fontId="14" fillId="0" borderId="4" xfId="0" applyFont="1" applyFill="1" applyBorder="1" applyAlignment="1">
      <alignment horizontal="center"/>
    </xf>
    <xf numFmtId="191" fontId="14" fillId="0" borderId="4" xfId="0" applyNumberFormat="1" applyFont="1" applyFill="1" applyBorder="1" applyAlignment="1">
      <alignment horizontal="center"/>
    </xf>
    <xf numFmtId="0" fontId="14" fillId="0" borderId="4" xfId="0" applyFont="1" applyBorder="1" applyAlignment="1">
      <alignment horizontal="center" wrapText="1"/>
    </xf>
    <xf numFmtId="43" fontId="14" fillId="0" borderId="0" xfId="15" applyFont="1" applyAlignment="1">
      <alignment/>
    </xf>
    <xf numFmtId="191" fontId="14" fillId="0" borderId="0" xfId="23" applyNumberFormat="1" applyFont="1" applyAlignment="1">
      <alignment/>
    </xf>
    <xf numFmtId="190" fontId="14" fillId="0" borderId="0" xfId="15" applyNumberFormat="1" applyFont="1" applyAlignment="1">
      <alignment/>
    </xf>
    <xf numFmtId="43" fontId="14" fillId="0" borderId="0" xfId="15" applyFont="1" applyAlignment="1">
      <alignment wrapText="1"/>
    </xf>
    <xf numFmtId="191" fontId="14" fillId="0" borderId="0" xfId="23" applyNumberFormat="1" applyFont="1" applyAlignment="1">
      <alignment horizontal="right"/>
    </xf>
    <xf numFmtId="191" fontId="14" fillId="0" borderId="4" xfId="23" applyNumberFormat="1" applyFont="1" applyBorder="1" applyAlignment="1">
      <alignment/>
    </xf>
    <xf numFmtId="190" fontId="14" fillId="0" borderId="4" xfId="15" applyNumberFormat="1" applyFont="1" applyBorder="1" applyAlignment="1">
      <alignment/>
    </xf>
    <xf numFmtId="191" fontId="0" fillId="4" borderId="3" xfId="23" applyNumberFormat="1" applyFont="1" applyFill="1" applyBorder="1" applyAlignment="1">
      <alignment/>
    </xf>
    <xf numFmtId="1" fontId="0" fillId="4" borderId="3" xfId="23" applyNumberFormat="1" applyFont="1" applyFill="1" applyBorder="1" applyAlignment="1">
      <alignment/>
    </xf>
    <xf numFmtId="191" fontId="0" fillId="4" borderId="5" xfId="23" applyNumberFormat="1" applyFont="1" applyFill="1" applyBorder="1" applyAlignment="1">
      <alignment/>
    </xf>
    <xf numFmtId="1" fontId="0" fillId="4" borderId="5" xfId="23" applyNumberFormat="1" applyFont="1" applyFill="1" applyBorder="1" applyAlignment="1">
      <alignment/>
    </xf>
    <xf numFmtId="0" fontId="16" fillId="0" borderId="0" xfId="0" applyFont="1" applyAlignment="1">
      <alignment/>
    </xf>
    <xf numFmtId="0" fontId="15" fillId="0" borderId="0" xfId="0" applyFont="1" applyFill="1" applyAlignment="1">
      <alignment/>
    </xf>
    <xf numFmtId="0" fontId="0" fillId="0" borderId="0" xfId="0" applyBorder="1" applyAlignment="1">
      <alignment/>
    </xf>
    <xf numFmtId="3" fontId="2" fillId="0" borderId="4" xfId="0" applyNumberFormat="1" applyFont="1" applyFill="1" applyBorder="1" applyAlignment="1">
      <alignment horizontal="right" vertical="center" indent="1"/>
    </xf>
    <xf numFmtId="0" fontId="15" fillId="0" borderId="0" xfId="0" applyFont="1" applyBorder="1" applyAlignment="1">
      <alignment/>
    </xf>
    <xf numFmtId="184" fontId="7" fillId="0" borderId="4" xfId="17" applyNumberFormat="1" applyFont="1" applyFill="1" applyBorder="1" applyAlignment="1">
      <alignment horizontal="right" vertical="center" indent="1"/>
    </xf>
    <xf numFmtId="3" fontId="2" fillId="0" borderId="0" xfId="0" applyNumberFormat="1" applyFont="1" applyFill="1" applyBorder="1" applyAlignment="1">
      <alignment horizontal="right" vertical="center" indent="1"/>
    </xf>
    <xf numFmtId="3" fontId="2" fillId="0" borderId="4" xfId="0" applyNumberFormat="1" applyFont="1" applyBorder="1" applyAlignment="1">
      <alignment horizontal="right" vertical="center" indent="1"/>
    </xf>
    <xf numFmtId="184" fontId="7" fillId="0" borderId="0" xfId="17" applyNumberFormat="1" applyFont="1" applyFill="1" applyBorder="1" applyAlignment="1">
      <alignment horizontal="right" vertical="center" indent="1"/>
    </xf>
    <xf numFmtId="0" fontId="7" fillId="0" borderId="4" xfId="0" applyFont="1" applyBorder="1" applyAlignment="1">
      <alignment horizontal="right" vertical="center" indent="1"/>
    </xf>
    <xf numFmtId="0" fontId="7" fillId="0" borderId="0" xfId="0" applyFont="1" applyBorder="1" applyAlignment="1">
      <alignment horizontal="right" vertical="center" indent="1"/>
    </xf>
    <xf numFmtId="180" fontId="7" fillId="0" borderId="0" xfId="0" applyNumberFormat="1" applyFont="1" applyBorder="1" applyAlignment="1">
      <alignment horizontal="right" vertical="center" indent="1"/>
    </xf>
    <xf numFmtId="180" fontId="7" fillId="0" borderId="0" xfId="0" applyNumberFormat="1" applyFont="1" applyFill="1" applyBorder="1" applyAlignment="1">
      <alignment horizontal="right" vertical="center" indent="1"/>
    </xf>
    <xf numFmtId="3" fontId="2" fillId="0" borderId="1" xfId="0" applyNumberFormat="1" applyFont="1" applyFill="1" applyBorder="1" applyAlignment="1">
      <alignment horizontal="right" vertical="center" indent="1"/>
    </xf>
    <xf numFmtId="3" fontId="7" fillId="0" borderId="1" xfId="0" applyNumberFormat="1" applyFont="1" applyFill="1" applyBorder="1" applyAlignment="1">
      <alignment horizontal="right" vertical="center" indent="1"/>
    </xf>
    <xf numFmtId="180" fontId="7" fillId="0" borderId="4" xfId="17" applyNumberFormat="1" applyFont="1" applyFill="1" applyBorder="1" applyAlignment="1">
      <alignment horizontal="right" vertical="center" indent="1"/>
    </xf>
    <xf numFmtId="0" fontId="15" fillId="0" borderId="0" xfId="0" applyFont="1" applyAlignment="1">
      <alignment/>
    </xf>
    <xf numFmtId="0" fontId="15" fillId="0" borderId="0" xfId="0" applyFont="1" applyBorder="1" applyAlignment="1" applyProtection="1">
      <alignment/>
      <protection/>
    </xf>
    <xf numFmtId="0" fontId="17" fillId="2" borderId="6" xfId="0" applyFont="1" applyFill="1" applyBorder="1" applyAlignment="1" applyProtection="1">
      <alignment horizontal="center"/>
      <protection/>
    </xf>
    <xf numFmtId="0" fontId="15" fillId="0" borderId="0" xfId="0" applyFont="1" applyBorder="1" applyAlignment="1" applyProtection="1">
      <alignment/>
      <protection/>
    </xf>
    <xf numFmtId="0" fontId="17" fillId="0" borderId="0" xfId="0" applyFont="1" applyFill="1" applyBorder="1" applyAlignment="1" applyProtection="1">
      <alignment horizontal="center"/>
      <protection/>
    </xf>
    <xf numFmtId="0" fontId="17" fillId="0" borderId="0" xfId="0" applyFont="1" applyFill="1" applyBorder="1" applyAlignment="1" applyProtection="1">
      <alignment/>
      <protection/>
    </xf>
    <xf numFmtId="0" fontId="15" fillId="0" borderId="0" xfId="0" applyFont="1" applyFill="1" applyBorder="1" applyAlignment="1" applyProtection="1">
      <alignment/>
      <protection/>
    </xf>
    <xf numFmtId="0" fontId="0" fillId="0" borderId="0" xfId="0" applyFont="1" applyBorder="1" applyAlignment="1" applyProtection="1">
      <alignment/>
      <protection/>
    </xf>
    <xf numFmtId="0" fontId="17" fillId="0" borderId="0" xfId="0" applyFont="1" applyBorder="1" applyAlignment="1" applyProtection="1">
      <alignment/>
      <protection/>
    </xf>
    <xf numFmtId="180" fontId="17" fillId="0" borderId="0" xfId="17" applyNumberFormat="1" applyFont="1" applyBorder="1" applyAlignment="1" applyProtection="1">
      <alignment/>
      <protection/>
    </xf>
    <xf numFmtId="0" fontId="17" fillId="0" borderId="7" xfId="0" applyFont="1" applyBorder="1" applyAlignment="1" applyProtection="1">
      <alignment horizontal="right" wrapText="1"/>
      <protection/>
    </xf>
    <xf numFmtId="3" fontId="15" fillId="0" borderId="0" xfId="0" applyNumberFormat="1" applyFont="1" applyAlignment="1">
      <alignment/>
    </xf>
    <xf numFmtId="3" fontId="2" fillId="0" borderId="0" xfId="0" applyNumberFormat="1" applyFont="1" applyAlignment="1">
      <alignment/>
    </xf>
    <xf numFmtId="191" fontId="15" fillId="0" borderId="0" xfId="0" applyNumberFormat="1" applyFont="1" applyAlignment="1">
      <alignment/>
    </xf>
    <xf numFmtId="3" fontId="21" fillId="0" borderId="0" xfId="0" applyNumberFormat="1" applyFont="1" applyBorder="1" applyAlignment="1">
      <alignment/>
    </xf>
    <xf numFmtId="191" fontId="15" fillId="0" borderId="0" xfId="0" applyNumberFormat="1" applyFont="1" applyBorder="1" applyAlignment="1">
      <alignment/>
    </xf>
    <xf numFmtId="3" fontId="2" fillId="0" borderId="4" xfId="0" applyNumberFormat="1" applyFont="1" applyFill="1" applyBorder="1" applyAlignment="1" applyProtection="1">
      <alignment horizontal="right" vertical="center" indent="1"/>
      <protection/>
    </xf>
    <xf numFmtId="0" fontId="15" fillId="0" borderId="8" xfId="0" applyFont="1" applyBorder="1" applyAlignment="1" applyProtection="1">
      <alignment/>
      <protection/>
    </xf>
    <xf numFmtId="0" fontId="15" fillId="0" borderId="9" xfId="0" applyFont="1" applyBorder="1" applyAlignment="1" applyProtection="1">
      <alignment/>
      <protection/>
    </xf>
    <xf numFmtId="0" fontId="15" fillId="0" borderId="10" xfId="0" applyFont="1" applyBorder="1" applyAlignment="1" applyProtection="1">
      <alignment/>
      <protection/>
    </xf>
    <xf numFmtId="0" fontId="15" fillId="0" borderId="0" xfId="0" applyFont="1" applyFill="1" applyBorder="1" applyAlignment="1" applyProtection="1">
      <alignment/>
      <protection/>
    </xf>
    <xf numFmtId="184" fontId="15" fillId="5" borderId="0" xfId="0" applyNumberFormat="1" applyFont="1" applyFill="1" applyBorder="1" applyAlignment="1" applyProtection="1">
      <alignment horizontal="right"/>
      <protection/>
    </xf>
    <xf numFmtId="180" fontId="15" fillId="0" borderId="0" xfId="15" applyNumberFormat="1" applyFont="1" applyFill="1" applyBorder="1" applyAlignment="1" applyProtection="1">
      <alignment horizontal="right"/>
      <protection/>
    </xf>
    <xf numFmtId="0" fontId="17" fillId="5" borderId="0" xfId="0" applyFont="1" applyFill="1" applyBorder="1" applyAlignment="1" applyProtection="1">
      <alignment/>
      <protection/>
    </xf>
    <xf numFmtId="0" fontId="22" fillId="0" borderId="0" xfId="0" applyFont="1" applyFill="1" applyBorder="1" applyAlignment="1" applyProtection="1">
      <alignment/>
      <protection/>
    </xf>
    <xf numFmtId="211" fontId="0" fillId="0" borderId="0" xfId="0" applyNumberFormat="1" applyAlignment="1">
      <alignment/>
    </xf>
    <xf numFmtId="184" fontId="0" fillId="0" borderId="0" xfId="0" applyNumberFormat="1" applyAlignment="1">
      <alignment/>
    </xf>
    <xf numFmtId="3" fontId="2" fillId="0" borderId="0" xfId="0" applyNumberFormat="1" applyFont="1" applyBorder="1" applyAlignment="1">
      <alignment horizontal="right" vertical="center" indent="1"/>
    </xf>
    <xf numFmtId="0" fontId="17" fillId="0" borderId="0" xfId="0" applyFont="1" applyBorder="1" applyAlignment="1">
      <alignment/>
    </xf>
    <xf numFmtId="0" fontId="17" fillId="2" borderId="2" xfId="0" applyFont="1" applyFill="1" applyBorder="1" applyAlignment="1" applyProtection="1">
      <alignment horizontal="center" wrapText="1"/>
      <protection/>
    </xf>
    <xf numFmtId="180" fontId="15" fillId="5" borderId="0" xfId="15" applyNumberFormat="1" applyFont="1" applyFill="1" applyBorder="1" applyAlignment="1" applyProtection="1">
      <alignment horizontal="right"/>
      <protection/>
    </xf>
    <xf numFmtId="0" fontId="15" fillId="0" borderId="0" xfId="0" applyFont="1" applyFill="1" applyBorder="1" applyAlignment="1" applyProtection="1">
      <alignment horizontal="center" vertical="center" wrapText="1"/>
      <protection/>
    </xf>
    <xf numFmtId="0" fontId="0" fillId="0" borderId="0" xfId="0" applyAlignment="1" applyProtection="1">
      <alignment/>
      <protection/>
    </xf>
    <xf numFmtId="0" fontId="3" fillId="2" borderId="6" xfId="0" applyFont="1" applyFill="1" applyBorder="1" applyAlignment="1" applyProtection="1">
      <alignment horizontal="center" vertical="center" wrapText="1"/>
      <protection/>
    </xf>
    <xf numFmtId="0" fontId="5" fillId="0" borderId="0" xfId="0" applyFont="1" applyAlignment="1" applyProtection="1">
      <alignment horizontal="center" wrapText="1"/>
      <protection/>
    </xf>
    <xf numFmtId="0" fontId="6" fillId="0" borderId="0" xfId="0" applyFont="1" applyFill="1" applyBorder="1" applyAlignment="1" applyProtection="1">
      <alignment horizontal="left" vertical="center" wrapText="1"/>
      <protection/>
    </xf>
    <xf numFmtId="0" fontId="7" fillId="0" borderId="0" xfId="0" applyFont="1" applyAlignment="1" applyProtection="1">
      <alignment horizontal="right" indent="1"/>
      <protection/>
    </xf>
    <xf numFmtId="0" fontId="7" fillId="0" borderId="0" xfId="0" applyFont="1" applyAlignment="1" applyProtection="1">
      <alignment/>
      <protection/>
    </xf>
    <xf numFmtId="3" fontId="7" fillId="0" borderId="0" xfId="0" applyNumberFormat="1" applyFont="1" applyAlignment="1" applyProtection="1">
      <alignment horizontal="right" vertical="center" indent="1"/>
      <protection/>
    </xf>
    <xf numFmtId="184" fontId="7" fillId="0" borderId="0" xfId="17" applyNumberFormat="1" applyFont="1" applyFill="1" applyAlignment="1" applyProtection="1">
      <alignment horizontal="right" vertical="center" indent="1"/>
      <protection/>
    </xf>
    <xf numFmtId="3" fontId="7" fillId="0" borderId="0" xfId="0" applyNumberFormat="1" applyFont="1" applyFill="1" applyAlignment="1" applyProtection="1">
      <alignment horizontal="right" vertical="center" indent="1"/>
      <protection/>
    </xf>
    <xf numFmtId="3" fontId="2" fillId="0" borderId="0" xfId="0" applyNumberFormat="1" applyFont="1" applyFill="1" applyAlignment="1" applyProtection="1">
      <alignment horizontal="right" vertical="center" indent="1"/>
      <protection/>
    </xf>
    <xf numFmtId="3" fontId="0" fillId="0" borderId="0" xfId="0" applyNumberFormat="1" applyAlignment="1" applyProtection="1">
      <alignment/>
      <protection/>
    </xf>
    <xf numFmtId="0" fontId="6" fillId="0" borderId="4" xfId="0" applyFont="1" applyFill="1" applyBorder="1" applyAlignment="1" applyProtection="1">
      <alignment horizontal="left" vertical="center" wrapText="1"/>
      <protection/>
    </xf>
    <xf numFmtId="0" fontId="0" fillId="0" borderId="4" xfId="0" applyBorder="1" applyAlignment="1" applyProtection="1">
      <alignment/>
      <protection/>
    </xf>
    <xf numFmtId="0" fontId="3" fillId="0" borderId="0" xfId="0" applyFont="1" applyFill="1" applyBorder="1" applyAlignment="1" applyProtection="1">
      <alignment horizontal="left" vertical="center" wrapText="1"/>
      <protection/>
    </xf>
    <xf numFmtId="0" fontId="19" fillId="0" borderId="0" xfId="0" applyFont="1" applyFill="1" applyAlignment="1" applyProtection="1">
      <alignment/>
      <protection/>
    </xf>
    <xf numFmtId="0" fontId="15" fillId="0" borderId="0" xfId="0" applyFont="1" applyFill="1" applyAlignment="1" applyProtection="1">
      <alignment/>
      <protection/>
    </xf>
    <xf numFmtId="3" fontId="2" fillId="0" borderId="0" xfId="0" applyNumberFormat="1" applyFont="1" applyFill="1" applyBorder="1" applyAlignment="1" applyProtection="1">
      <alignment horizontal="right" vertical="center" indent="1"/>
      <protection/>
    </xf>
    <xf numFmtId="0" fontId="3" fillId="0" borderId="0" xfId="0" applyFont="1" applyFill="1" applyAlignment="1" applyProtection="1">
      <alignment/>
      <protection/>
    </xf>
    <xf numFmtId="0" fontId="7" fillId="0" borderId="0" xfId="0" applyFont="1" applyFill="1" applyAlignment="1" applyProtection="1">
      <alignment horizontal="right" vertical="center" indent="1"/>
      <protection/>
    </xf>
    <xf numFmtId="180" fontId="7" fillId="0" borderId="0" xfId="0" applyNumberFormat="1" applyFont="1" applyFill="1" applyAlignment="1" applyProtection="1">
      <alignment horizontal="right" vertical="center" indent="1"/>
      <protection/>
    </xf>
    <xf numFmtId="0" fontId="7" fillId="0" borderId="0" xfId="0" applyFont="1" applyAlignment="1" applyProtection="1">
      <alignment horizontal="right" vertical="center" indent="1"/>
      <protection/>
    </xf>
    <xf numFmtId="0" fontId="7" fillId="0" borderId="1" xfId="0" applyFont="1" applyBorder="1" applyAlignment="1" applyProtection="1">
      <alignment/>
      <protection/>
    </xf>
    <xf numFmtId="0" fontId="7" fillId="0" borderId="1" xfId="0" applyFont="1" applyBorder="1" applyAlignment="1" applyProtection="1">
      <alignment horizontal="right" vertical="center" indent="1"/>
      <protection/>
    </xf>
    <xf numFmtId="180" fontId="7" fillId="0" borderId="1" xfId="0" applyNumberFormat="1" applyFont="1" applyBorder="1" applyAlignment="1" applyProtection="1">
      <alignment horizontal="right" vertical="center" indent="1"/>
      <protection/>
    </xf>
    <xf numFmtId="180" fontId="7" fillId="0" borderId="1" xfId="0" applyNumberFormat="1" applyFont="1" applyFill="1" applyBorder="1" applyAlignment="1" applyProtection="1">
      <alignment horizontal="right" vertical="center" indent="1"/>
      <protection/>
    </xf>
    <xf numFmtId="3" fontId="8" fillId="0" borderId="0" xfId="0" applyNumberFormat="1" applyFont="1" applyAlignment="1" applyProtection="1">
      <alignment/>
      <protection/>
    </xf>
    <xf numFmtId="0" fontId="8" fillId="0" borderId="0" xfId="0" applyFont="1" applyAlignment="1" applyProtection="1">
      <alignment/>
      <protection/>
    </xf>
    <xf numFmtId="180" fontId="0" fillId="0" borderId="0" xfId="0" applyNumberFormat="1" applyAlignment="1" applyProtection="1">
      <alignment/>
      <protection/>
    </xf>
    <xf numFmtId="1" fontId="2" fillId="0" borderId="0" xfId="0" applyNumberFormat="1" applyFont="1" applyFill="1" applyAlignment="1" applyProtection="1">
      <alignment horizontal="right" vertical="center" indent="1"/>
      <protection/>
    </xf>
    <xf numFmtId="3" fontId="2" fillId="0" borderId="0" xfId="0" applyNumberFormat="1" applyFont="1" applyAlignment="1" applyProtection="1">
      <alignment/>
      <protection/>
    </xf>
    <xf numFmtId="2" fontId="0" fillId="0" borderId="0" xfId="0" applyNumberFormat="1" applyAlignment="1" applyProtection="1">
      <alignment/>
      <protection/>
    </xf>
    <xf numFmtId="3" fontId="2" fillId="0" borderId="0" xfId="0" applyNumberFormat="1" applyFont="1" applyFill="1" applyAlignment="1" applyProtection="1">
      <alignment/>
      <protection/>
    </xf>
    <xf numFmtId="180" fontId="8" fillId="0" borderId="0" xfId="17" applyNumberFormat="1" applyFont="1" applyAlignment="1" applyProtection="1">
      <alignment/>
      <protection/>
    </xf>
    <xf numFmtId="3" fontId="7" fillId="0" borderId="0" xfId="0" applyNumberFormat="1" applyFont="1" applyFill="1" applyAlignment="1" applyProtection="1">
      <alignment/>
      <protection/>
    </xf>
    <xf numFmtId="0" fontId="8" fillId="0" borderId="0" xfId="0" applyFont="1" applyBorder="1" applyAlignment="1" applyProtection="1">
      <alignment/>
      <protection/>
    </xf>
    <xf numFmtId="184" fontId="7" fillId="0" borderId="4" xfId="17" applyNumberFormat="1" applyFont="1" applyFill="1" applyBorder="1" applyAlignment="1" applyProtection="1">
      <alignment horizontal="right" vertical="center" indent="1"/>
      <protection/>
    </xf>
    <xf numFmtId="0" fontId="0" fillId="0" borderId="0" xfId="0" applyBorder="1" applyAlignment="1" applyProtection="1">
      <alignment/>
      <protection/>
    </xf>
    <xf numFmtId="0" fontId="0" fillId="0" borderId="0" xfId="0" applyAlignment="1" applyProtection="1">
      <alignment/>
      <protection locked="0"/>
    </xf>
    <xf numFmtId="43" fontId="0" fillId="0" borderId="0" xfId="0" applyNumberFormat="1" applyAlignment="1" applyProtection="1">
      <alignment/>
      <protection locked="0"/>
    </xf>
    <xf numFmtId="43" fontId="0" fillId="0" borderId="0" xfId="15" applyAlignment="1" applyProtection="1">
      <alignment/>
      <protection locked="0"/>
    </xf>
    <xf numFmtId="0" fontId="15" fillId="6" borderId="0" xfId="0" applyFont="1" applyFill="1" applyAlignment="1" applyProtection="1">
      <alignment/>
      <protection/>
    </xf>
    <xf numFmtId="0" fontId="15" fillId="0" borderId="0" xfId="0" applyFont="1" applyAlignment="1" applyProtection="1">
      <alignment/>
      <protection/>
    </xf>
    <xf numFmtId="0" fontId="17" fillId="6" borderId="0" xfId="0" applyFont="1" applyFill="1" applyAlignment="1" applyProtection="1">
      <alignment/>
      <protection/>
    </xf>
    <xf numFmtId="0" fontId="17" fillId="7" borderId="0" xfId="0" applyFont="1" applyFill="1" applyAlignment="1" applyProtection="1">
      <alignment/>
      <protection/>
    </xf>
    <xf numFmtId="0" fontId="15" fillId="7" borderId="0" xfId="0" applyFont="1" applyFill="1" applyAlignment="1" applyProtection="1">
      <alignment/>
      <protection/>
    </xf>
    <xf numFmtId="0" fontId="17" fillId="0" borderId="0" xfId="0" applyFont="1" applyAlignment="1" applyProtection="1">
      <alignment/>
      <protection/>
    </xf>
    <xf numFmtId="0" fontId="17" fillId="5" borderId="0" xfId="0" applyFont="1" applyFill="1" applyAlignment="1" applyProtection="1">
      <alignment/>
      <protection/>
    </xf>
    <xf numFmtId="0" fontId="15" fillId="5" borderId="0" xfId="0" applyFont="1" applyFill="1" applyAlignment="1" applyProtection="1">
      <alignment/>
      <protection/>
    </xf>
    <xf numFmtId="0" fontId="17" fillId="2" borderId="0" xfId="0" applyFont="1" applyFill="1" applyAlignment="1" applyProtection="1">
      <alignment/>
      <protection/>
    </xf>
    <xf numFmtId="0" fontId="17" fillId="2" borderId="2" xfId="0" applyFont="1" applyFill="1" applyBorder="1" applyAlignment="1" applyProtection="1">
      <alignment horizontal="center"/>
      <protection/>
    </xf>
    <xf numFmtId="0" fontId="17" fillId="2" borderId="8" xfId="0" applyFont="1" applyFill="1" applyBorder="1" applyAlignment="1" applyProtection="1">
      <alignment horizontal="center"/>
      <protection/>
    </xf>
    <xf numFmtId="0" fontId="17" fillId="2" borderId="3" xfId="0" applyFont="1" applyFill="1" applyBorder="1" applyAlignment="1" applyProtection="1">
      <alignment/>
      <protection/>
    </xf>
    <xf numFmtId="0" fontId="15" fillId="0" borderId="0" xfId="0" applyFont="1" applyFill="1" applyAlignment="1" applyProtection="1">
      <alignment horizontal="center" vertical="center"/>
      <protection/>
    </xf>
    <xf numFmtId="0" fontId="17" fillId="0" borderId="0" xfId="0" applyFont="1" applyFill="1" applyBorder="1" applyAlignment="1" applyProtection="1">
      <alignment horizontal="center" vertical="center" wrapText="1"/>
      <protection/>
    </xf>
    <xf numFmtId="0" fontId="17" fillId="0" borderId="10" xfId="0" applyFont="1" applyFill="1" applyBorder="1" applyAlignment="1" applyProtection="1">
      <alignment horizontal="center"/>
      <protection/>
    </xf>
    <xf numFmtId="0" fontId="17" fillId="0" borderId="3" xfId="0" applyFont="1" applyFill="1" applyBorder="1" applyAlignment="1" applyProtection="1">
      <alignment/>
      <protection/>
    </xf>
    <xf numFmtId="0" fontId="17" fillId="0" borderId="10" xfId="0" applyFont="1" applyFill="1" applyBorder="1" applyAlignment="1" applyProtection="1">
      <alignment/>
      <protection/>
    </xf>
    <xf numFmtId="0" fontId="17" fillId="0" borderId="11" xfId="0" applyFont="1" applyFill="1" applyBorder="1" applyAlignment="1" applyProtection="1">
      <alignment/>
      <protection/>
    </xf>
    <xf numFmtId="181" fontId="15" fillId="0" borderId="0" xfId="0" applyNumberFormat="1" applyFont="1" applyFill="1" applyBorder="1" applyAlignment="1" applyProtection="1">
      <alignment/>
      <protection/>
    </xf>
    <xf numFmtId="2" fontId="15" fillId="0" borderId="0" xfId="0" applyNumberFormat="1" applyFont="1" applyFill="1" applyBorder="1" applyAlignment="1" applyProtection="1">
      <alignment/>
      <protection/>
    </xf>
    <xf numFmtId="0" fontId="17" fillId="0" borderId="8" xfId="0" applyFont="1" applyBorder="1" applyAlignment="1" applyProtection="1">
      <alignment/>
      <protection/>
    </xf>
    <xf numFmtId="186" fontId="15" fillId="0" borderId="0" xfId="15" applyNumberFormat="1" applyFont="1" applyFill="1" applyAlignment="1" applyProtection="1">
      <alignment/>
      <protection/>
    </xf>
    <xf numFmtId="0" fontId="0" fillId="0" borderId="0" xfId="0" applyFont="1" applyAlignment="1">
      <alignment/>
    </xf>
    <xf numFmtId="0" fontId="17" fillId="0" borderId="6" xfId="0" applyFont="1" applyFill="1" applyBorder="1" applyAlignment="1" applyProtection="1">
      <alignment/>
      <protection/>
    </xf>
    <xf numFmtId="0" fontId="18" fillId="6" borderId="6" xfId="0" applyFont="1" applyFill="1" applyBorder="1" applyAlignment="1" applyProtection="1">
      <alignment horizontal="center"/>
      <protection locked="0"/>
    </xf>
    <xf numFmtId="0" fontId="9" fillId="0" borderId="0" xfId="0" applyFont="1" applyAlignment="1">
      <alignment/>
    </xf>
    <xf numFmtId="0" fontId="27" fillId="0" borderId="0" xfId="0" applyFont="1" applyAlignment="1">
      <alignment/>
    </xf>
    <xf numFmtId="212" fontId="0" fillId="0" borderId="0" xfId="15" applyNumberFormat="1" applyAlignment="1" applyProtection="1">
      <alignment/>
      <protection/>
    </xf>
    <xf numFmtId="0" fontId="28" fillId="0" borderId="0" xfId="0" applyNumberFormat="1" applyFont="1" applyAlignment="1" applyProtection="1">
      <alignment/>
      <protection locked="0"/>
    </xf>
    <xf numFmtId="0" fontId="9" fillId="2" borderId="0" xfId="0" applyFont="1" applyFill="1" applyAlignment="1" applyProtection="1">
      <alignment/>
      <protection locked="0"/>
    </xf>
    <xf numFmtId="43" fontId="0" fillId="2" borderId="0" xfId="15" applyFill="1" applyAlignment="1" applyProtection="1">
      <alignment/>
      <protection locked="0"/>
    </xf>
    <xf numFmtId="0" fontId="0" fillId="2" borderId="0" xfId="0" applyFill="1" applyAlignment="1" applyProtection="1">
      <alignment/>
      <protection locked="0"/>
    </xf>
    <xf numFmtId="0" fontId="9" fillId="0" borderId="0" xfId="0" applyFont="1" applyAlignment="1">
      <alignment horizontal="right"/>
    </xf>
    <xf numFmtId="1" fontId="0" fillId="0" borderId="0" xfId="0" applyNumberFormat="1" applyAlignment="1">
      <alignment/>
    </xf>
    <xf numFmtId="2" fontId="0" fillId="0" borderId="0" xfId="0" applyNumberFormat="1" applyAlignment="1">
      <alignment/>
    </xf>
    <xf numFmtId="180" fontId="0" fillId="0" borderId="0" xfId="15" applyNumberFormat="1" applyAlignment="1">
      <alignment/>
    </xf>
    <xf numFmtId="43" fontId="0" fillId="0" borderId="0" xfId="0" applyNumberFormat="1" applyAlignment="1">
      <alignment/>
    </xf>
    <xf numFmtId="2" fontId="0" fillId="4" borderId="0" xfId="0" applyNumberFormat="1" applyFill="1" applyAlignment="1">
      <alignment/>
    </xf>
    <xf numFmtId="196" fontId="0" fillId="0" borderId="0" xfId="0" applyNumberFormat="1" applyAlignment="1">
      <alignment/>
    </xf>
    <xf numFmtId="180" fontId="0" fillId="0" borderId="0" xfId="15" applyNumberFormat="1" applyAlignment="1">
      <alignment/>
    </xf>
    <xf numFmtId="187" fontId="0" fillId="0" borderId="0" xfId="15" applyNumberFormat="1" applyAlignment="1">
      <alignment/>
    </xf>
    <xf numFmtId="191" fontId="0" fillId="0" borderId="0" xfId="23" applyNumberFormat="1" applyAlignment="1">
      <alignment/>
    </xf>
    <xf numFmtId="9" fontId="0" fillId="0" borderId="0" xfId="23" applyAlignment="1">
      <alignment/>
    </xf>
    <xf numFmtId="43" fontId="0" fillId="0" borderId="0" xfId="15" applyAlignment="1">
      <alignment/>
    </xf>
    <xf numFmtId="195" fontId="0" fillId="0" borderId="0" xfId="0" applyNumberFormat="1" applyAlignment="1">
      <alignment/>
    </xf>
    <xf numFmtId="0" fontId="32" fillId="3" borderId="0" xfId="22" applyFont="1" applyFill="1" applyBorder="1" applyAlignment="1">
      <alignment horizontal="center" vertical="center"/>
      <protection/>
    </xf>
    <xf numFmtId="0" fontId="32" fillId="3" borderId="12" xfId="22" applyFont="1" applyFill="1" applyBorder="1" applyAlignment="1">
      <alignment horizontal="center" vertical="center"/>
      <protection/>
    </xf>
    <xf numFmtId="0" fontId="32" fillId="0" borderId="13" xfId="22" applyFont="1" applyFill="1" applyBorder="1" applyAlignment="1">
      <alignment horizontal="left"/>
      <protection/>
    </xf>
    <xf numFmtId="3" fontId="32" fillId="0" borderId="13" xfId="22" applyNumberFormat="1" applyFont="1" applyFill="1" applyBorder="1" applyAlignment="1">
      <alignment horizontal="left"/>
      <protection/>
    </xf>
    <xf numFmtId="3" fontId="32" fillId="0" borderId="13" xfId="22" applyNumberFormat="1" applyFont="1" applyFill="1" applyBorder="1" applyAlignment="1">
      <alignment horizontal="right"/>
      <protection/>
    </xf>
    <xf numFmtId="3" fontId="32" fillId="0" borderId="0" xfId="22" applyNumberFormat="1" applyFont="1" applyFill="1" applyBorder="1" applyAlignment="1">
      <alignment horizontal="right"/>
      <protection/>
    </xf>
    <xf numFmtId="181" fontId="32" fillId="0" borderId="13" xfId="22" applyNumberFormat="1" applyFont="1" applyFill="1" applyBorder="1" applyAlignment="1">
      <alignment horizontal="right"/>
      <protection/>
    </xf>
    <xf numFmtId="186" fontId="0" fillId="0" borderId="0" xfId="15" applyNumberFormat="1" applyAlignment="1">
      <alignment/>
    </xf>
    <xf numFmtId="2" fontId="9" fillId="0" borderId="0" xfId="0" applyNumberFormat="1" applyFont="1" applyAlignment="1">
      <alignment horizontal="center"/>
    </xf>
    <xf numFmtId="2" fontId="9" fillId="0" borderId="0" xfId="0" applyNumberFormat="1" applyFont="1" applyAlignment="1">
      <alignment horizontal="right"/>
    </xf>
    <xf numFmtId="0" fontId="17" fillId="2" borderId="14" xfId="0" applyFont="1" applyFill="1" applyBorder="1" applyAlignment="1" applyProtection="1">
      <alignment horizontal="center"/>
      <protection/>
    </xf>
    <xf numFmtId="184" fontId="15" fillId="0" borderId="0" xfId="0" applyNumberFormat="1" applyFont="1" applyFill="1" applyBorder="1" applyAlignment="1" applyProtection="1">
      <alignment horizontal="right"/>
      <protection/>
    </xf>
    <xf numFmtId="0" fontId="19" fillId="0" borderId="0" xfId="0" applyFont="1" applyFill="1" applyBorder="1" applyAlignment="1" applyProtection="1">
      <alignment horizontal="left"/>
      <protection/>
    </xf>
    <xf numFmtId="0" fontId="34" fillId="0" borderId="0" xfId="0" applyFont="1" applyFill="1" applyBorder="1" applyAlignment="1" applyProtection="1">
      <alignment/>
      <protection/>
    </xf>
    <xf numFmtId="0" fontId="20" fillId="0" borderId="0" xfId="0" applyFont="1" applyBorder="1" applyAlignment="1" applyProtection="1">
      <alignment wrapText="1"/>
      <protection/>
    </xf>
    <xf numFmtId="0" fontId="15" fillId="0" borderId="0" xfId="0" applyFont="1" applyFill="1" applyBorder="1" applyAlignment="1" applyProtection="1">
      <alignment horizontal="right"/>
      <protection/>
    </xf>
    <xf numFmtId="3" fontId="2" fillId="0" borderId="0" xfId="0" applyNumberFormat="1" applyFont="1" applyAlignment="1" applyProtection="1">
      <alignment horizontal="right" vertical="center" indent="1"/>
      <protection/>
    </xf>
    <xf numFmtId="3" fontId="35" fillId="0" borderId="4" xfId="0" applyNumberFormat="1" applyFont="1" applyFill="1" applyBorder="1" applyAlignment="1" applyProtection="1">
      <alignment horizontal="center" vertical="center"/>
      <protection/>
    </xf>
    <xf numFmtId="3" fontId="2" fillId="0" borderId="0" xfId="0" applyNumberFormat="1" applyFont="1" applyFill="1" applyBorder="1" applyAlignment="1" applyProtection="1">
      <alignment horizontal="right" wrapText="1"/>
      <protection/>
    </xf>
    <xf numFmtId="3" fontId="2" fillId="0" borderId="0" xfId="0" applyNumberFormat="1" applyFont="1" applyAlignment="1">
      <alignment horizontal="right" vertical="center" indent="1"/>
    </xf>
    <xf numFmtId="211" fontId="0" fillId="0" borderId="0" xfId="0" applyNumberFormat="1" applyBorder="1" applyAlignment="1">
      <alignment/>
    </xf>
    <xf numFmtId="191" fontId="7" fillId="0" borderId="0" xfId="0" applyNumberFormat="1" applyFont="1" applyFill="1" applyBorder="1" applyAlignment="1">
      <alignment horizontal="right" vertical="center" indent="1"/>
    </xf>
    <xf numFmtId="191" fontId="15" fillId="0" borderId="0" xfId="23" applyNumberFormat="1" applyFont="1" applyBorder="1" applyAlignment="1">
      <alignment horizontal="center"/>
    </xf>
    <xf numFmtId="0" fontId="17" fillId="0" borderId="0" xfId="0" applyFont="1" applyBorder="1" applyAlignment="1">
      <alignment horizontal="center"/>
    </xf>
    <xf numFmtId="0" fontId="15" fillId="0" borderId="0" xfId="0" applyFont="1" applyFill="1" applyBorder="1" applyAlignment="1" applyProtection="1">
      <alignment horizontal="center" vertical="top" wrapText="1"/>
      <protection/>
    </xf>
    <xf numFmtId="180" fontId="15" fillId="0" borderId="0" xfId="15" applyNumberFormat="1" applyFont="1" applyFill="1" applyBorder="1" applyAlignment="1" applyProtection="1">
      <alignment horizontal="center" vertical="center" wrapText="1"/>
      <protection/>
    </xf>
    <xf numFmtId="10" fontId="15" fillId="0" borderId="0" xfId="23" applyNumberFormat="1" applyFont="1" applyFill="1" applyBorder="1" applyAlignment="1" applyProtection="1">
      <alignment horizontal="center" vertical="center" wrapText="1"/>
      <protection/>
    </xf>
    <xf numFmtId="1" fontId="15" fillId="0" borderId="0" xfId="23" applyNumberFormat="1" applyFont="1" applyFill="1" applyBorder="1" applyAlignment="1" applyProtection="1">
      <alignment horizontal="center" vertical="center" wrapText="1"/>
      <protection/>
    </xf>
    <xf numFmtId="0" fontId="15" fillId="0" borderId="0" xfId="0" applyFont="1" applyAlignment="1" applyProtection="1">
      <alignment vertical="center" wrapText="1"/>
      <protection/>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pplyProtection="1">
      <alignment horizontal="center" vertical="center" wrapText="1"/>
      <protection/>
    </xf>
    <xf numFmtId="0" fontId="15" fillId="0" borderId="11" xfId="0" applyFont="1" applyFill="1" applyBorder="1" applyAlignment="1" applyProtection="1">
      <alignment horizontal="center" vertical="center" wrapText="1"/>
      <protection/>
    </xf>
    <xf numFmtId="0" fontId="15" fillId="6" borderId="10" xfId="0" applyFont="1" applyFill="1" applyBorder="1" applyAlignment="1" applyProtection="1">
      <alignment horizontal="left" vertical="center"/>
      <protection/>
    </xf>
    <xf numFmtId="1" fontId="15" fillId="0" borderId="0" xfId="0" applyNumberFormat="1" applyFont="1" applyFill="1" applyBorder="1" applyAlignment="1" applyProtection="1">
      <alignment horizontal="right"/>
      <protection/>
    </xf>
    <xf numFmtId="196" fontId="15" fillId="0" borderId="0" xfId="0" applyNumberFormat="1" applyFont="1" applyFill="1" applyBorder="1" applyAlignment="1" applyProtection="1">
      <alignment/>
      <protection/>
    </xf>
    <xf numFmtId="9" fontId="15" fillId="0" borderId="0" xfId="23" applyFont="1" applyFill="1" applyBorder="1" applyAlignment="1" applyProtection="1">
      <alignment horizontal="left"/>
      <protection/>
    </xf>
    <xf numFmtId="184" fontId="15" fillId="0" borderId="0" xfId="0" applyNumberFormat="1" applyFont="1" applyFill="1" applyBorder="1" applyAlignment="1" applyProtection="1">
      <alignment/>
      <protection/>
    </xf>
    <xf numFmtId="0" fontId="17" fillId="2" borderId="10" xfId="0" applyFont="1" applyFill="1" applyBorder="1" applyAlignment="1" applyProtection="1">
      <alignment/>
      <protection/>
    </xf>
    <xf numFmtId="0" fontId="17" fillId="0" borderId="0" xfId="0" applyFont="1" applyFill="1" applyBorder="1" applyAlignment="1" applyProtection="1">
      <alignment/>
      <protection/>
    </xf>
    <xf numFmtId="192" fontId="15" fillId="0" borderId="0" xfId="0" applyNumberFormat="1" applyFont="1" applyFill="1" applyAlignment="1" applyProtection="1">
      <alignment/>
      <protection/>
    </xf>
    <xf numFmtId="187" fontId="15" fillId="0" borderId="0" xfId="15" applyNumberFormat="1" applyFont="1" applyFill="1" applyAlignment="1" applyProtection="1">
      <alignment/>
      <protection/>
    </xf>
    <xf numFmtId="192" fontId="15" fillId="0" borderId="10" xfId="0" applyNumberFormat="1" applyFont="1" applyBorder="1" applyAlignment="1" applyProtection="1">
      <alignment/>
      <protection/>
    </xf>
    <xf numFmtId="0" fontId="17" fillId="0" borderId="8" xfId="0" applyFont="1" applyBorder="1" applyAlignment="1" applyProtection="1">
      <alignment horizontal="right" wrapText="1"/>
      <protection/>
    </xf>
    <xf numFmtId="0" fontId="15" fillId="7" borderId="11" xfId="0" applyFont="1" applyFill="1" applyBorder="1" applyAlignment="1" applyProtection="1">
      <alignment horizontal="left" vertical="top" wrapText="1"/>
      <protection/>
    </xf>
    <xf numFmtId="0" fontId="15" fillId="5" borderId="11" xfId="0" applyFont="1" applyFill="1" applyBorder="1" applyAlignment="1" applyProtection="1">
      <alignment/>
      <protection/>
    </xf>
    <xf numFmtId="43" fontId="15" fillId="5" borderId="11" xfId="15" applyFont="1" applyFill="1" applyBorder="1" applyAlignment="1" applyProtection="1">
      <alignment/>
      <protection/>
    </xf>
    <xf numFmtId="192" fontId="15" fillId="0" borderId="9" xfId="0" applyNumberFormat="1" applyFont="1" applyBorder="1" applyAlignment="1" applyProtection="1">
      <alignment/>
      <protection/>
    </xf>
    <xf numFmtId="43" fontId="15" fillId="5" borderId="15" xfId="15" applyFont="1" applyFill="1" applyBorder="1" applyAlignment="1" applyProtection="1">
      <alignment/>
      <protection/>
    </xf>
    <xf numFmtId="0" fontId="15" fillId="7" borderId="15" xfId="0" applyFont="1" applyFill="1" applyBorder="1" applyAlignment="1" applyProtection="1">
      <alignment horizontal="left" vertical="top" wrapText="1"/>
      <protection/>
    </xf>
    <xf numFmtId="43" fontId="15" fillId="5" borderId="0" xfId="15" applyNumberFormat="1" applyFont="1" applyFill="1" applyBorder="1" applyAlignment="1" applyProtection="1">
      <alignment/>
      <protection/>
    </xf>
    <xf numFmtId="192" fontId="15" fillId="6" borderId="0" xfId="15" applyNumberFormat="1" applyFont="1" applyFill="1" applyBorder="1" applyAlignment="1" applyProtection="1">
      <alignment/>
      <protection/>
    </xf>
    <xf numFmtId="43" fontId="15" fillId="5" borderId="4" xfId="15" applyNumberFormat="1" applyFont="1" applyFill="1" applyBorder="1" applyAlignment="1" applyProtection="1">
      <alignment/>
      <protection/>
    </xf>
    <xf numFmtId="186" fontId="15" fillId="0" borderId="0" xfId="0" applyNumberFormat="1" applyFont="1" applyBorder="1" applyAlignment="1" applyProtection="1">
      <alignment/>
      <protection/>
    </xf>
    <xf numFmtId="0" fontId="15" fillId="8" borderId="16" xfId="0" applyFont="1" applyFill="1" applyBorder="1" applyAlignment="1" applyProtection="1">
      <alignment/>
      <protection/>
    </xf>
    <xf numFmtId="0" fontId="15" fillId="8" borderId="17" xfId="0" applyFont="1" applyFill="1" applyBorder="1" applyAlignment="1" applyProtection="1">
      <alignment/>
      <protection/>
    </xf>
    <xf numFmtId="0" fontId="15" fillId="8" borderId="18" xfId="0" applyFont="1" applyFill="1" applyBorder="1" applyAlignment="1" applyProtection="1">
      <alignment/>
      <protection/>
    </xf>
    <xf numFmtId="0" fontId="17" fillId="8" borderId="19" xfId="0" applyFont="1" applyFill="1" applyBorder="1" applyAlignment="1" applyProtection="1">
      <alignment/>
      <protection/>
    </xf>
    <xf numFmtId="0" fontId="17" fillId="8" borderId="0" xfId="0" applyFont="1" applyFill="1" applyBorder="1" applyAlignment="1" applyProtection="1">
      <alignment horizontal="center"/>
      <protection/>
    </xf>
    <xf numFmtId="0" fontId="15" fillId="8" borderId="0" xfId="0" applyFont="1" applyFill="1" applyBorder="1" applyAlignment="1" applyProtection="1">
      <alignment/>
      <protection/>
    </xf>
    <xf numFmtId="0" fontId="15" fillId="8" borderId="20" xfId="0" applyFont="1" applyFill="1" applyBorder="1" applyAlignment="1" applyProtection="1">
      <alignment/>
      <protection/>
    </xf>
    <xf numFmtId="0" fontId="15" fillId="8" borderId="19" xfId="0" applyFont="1" applyFill="1" applyBorder="1" applyAlignment="1" applyProtection="1">
      <alignment/>
      <protection/>
    </xf>
    <xf numFmtId="180" fontId="17" fillId="8" borderId="19" xfId="0" applyNumberFormat="1" applyFont="1" applyFill="1" applyBorder="1" applyAlignment="1" applyProtection="1">
      <alignment/>
      <protection/>
    </xf>
    <xf numFmtId="180" fontId="17" fillId="8" borderId="0" xfId="0" applyNumberFormat="1" applyFont="1" applyFill="1" applyBorder="1" applyAlignment="1" applyProtection="1">
      <alignment/>
      <protection/>
    </xf>
    <xf numFmtId="186" fontId="15" fillId="8" borderId="19" xfId="0" applyNumberFormat="1" applyFont="1" applyFill="1" applyBorder="1" applyAlignment="1" applyProtection="1">
      <alignment/>
      <protection/>
    </xf>
    <xf numFmtId="186" fontId="15" fillId="8" borderId="0" xfId="0" applyNumberFormat="1" applyFont="1" applyFill="1" applyBorder="1" applyAlignment="1" applyProtection="1">
      <alignment/>
      <protection/>
    </xf>
    <xf numFmtId="191" fontId="15" fillId="8" borderId="0" xfId="23" applyNumberFormat="1" applyFont="1" applyFill="1" applyBorder="1" applyAlignment="1" applyProtection="1">
      <alignment/>
      <protection/>
    </xf>
    <xf numFmtId="187" fontId="15" fillId="8" borderId="20" xfId="23" applyNumberFormat="1" applyFont="1" applyFill="1" applyBorder="1" applyAlignment="1" applyProtection="1">
      <alignment/>
      <protection/>
    </xf>
    <xf numFmtId="0" fontId="15" fillId="8" borderId="21" xfId="0" applyFont="1" applyFill="1" applyBorder="1" applyAlignment="1" applyProtection="1">
      <alignment/>
      <protection/>
    </xf>
    <xf numFmtId="0" fontId="15" fillId="8" borderId="1" xfId="0" applyFont="1" applyFill="1" applyBorder="1" applyAlignment="1" applyProtection="1">
      <alignment/>
      <protection/>
    </xf>
    <xf numFmtId="0" fontId="15" fillId="8" borderId="22" xfId="0" applyFont="1" applyFill="1" applyBorder="1" applyAlignment="1" applyProtection="1">
      <alignment/>
      <protection/>
    </xf>
    <xf numFmtId="0" fontId="17" fillId="0" borderId="0" xfId="0" applyFont="1" applyBorder="1" applyAlignment="1" applyProtection="1">
      <alignment vertical="center" wrapText="1"/>
      <protection/>
    </xf>
    <xf numFmtId="43" fontId="15" fillId="9" borderId="2" xfId="15" applyNumberFormat="1" applyFont="1" applyFill="1" applyBorder="1" applyAlignment="1" applyProtection="1">
      <alignment horizontal="left" vertical="center"/>
      <protection/>
    </xf>
    <xf numFmtId="43" fontId="15" fillId="9" borderId="5" xfId="15" applyNumberFormat="1" applyFont="1" applyFill="1" applyBorder="1" applyAlignment="1" applyProtection="1">
      <alignment horizontal="left" vertical="center"/>
      <protection/>
    </xf>
    <xf numFmtId="0" fontId="15" fillId="0" borderId="23" xfId="0" applyFont="1" applyBorder="1" applyAlignment="1" applyProtection="1">
      <alignment/>
      <protection/>
    </xf>
    <xf numFmtId="0" fontId="15" fillId="6" borderId="0" xfId="0" applyFont="1" applyFill="1" applyAlignment="1" applyProtection="1">
      <alignment wrapText="1"/>
      <protection/>
    </xf>
    <xf numFmtId="0" fontId="9" fillId="6" borderId="0" xfId="0" applyFont="1" applyFill="1" applyAlignment="1" applyProtection="1">
      <alignment vertical="center"/>
      <protection/>
    </xf>
    <xf numFmtId="10" fontId="7" fillId="0" borderId="10" xfId="0" applyNumberFormat="1" applyFont="1" applyFill="1" applyBorder="1" applyAlignment="1">
      <alignment horizontal="right" vertical="center" indent="1"/>
    </xf>
    <xf numFmtId="0" fontId="0" fillId="2" borderId="0" xfId="0" applyFill="1" applyAlignment="1" applyProtection="1">
      <alignment/>
      <protection/>
    </xf>
    <xf numFmtId="212" fontId="0" fillId="2" borderId="0" xfId="15" applyNumberFormat="1" applyFill="1" applyAlignment="1" applyProtection="1">
      <alignment/>
      <protection/>
    </xf>
    <xf numFmtId="0" fontId="7" fillId="0" borderId="10" xfId="0" applyFont="1" applyBorder="1" applyAlignment="1">
      <alignment horizontal="right" indent="1"/>
    </xf>
    <xf numFmtId="10" fontId="7" fillId="0" borderId="9" xfId="0" applyNumberFormat="1" applyFont="1" applyFill="1" applyBorder="1" applyAlignment="1">
      <alignment horizontal="right" vertical="center" indent="1"/>
    </xf>
    <xf numFmtId="10" fontId="15" fillId="0" borderId="0" xfId="23" applyNumberFormat="1" applyFont="1" applyBorder="1" applyAlignment="1">
      <alignment horizontal="center"/>
    </xf>
    <xf numFmtId="0" fontId="15" fillId="0" borderId="3" xfId="0" applyFont="1" applyBorder="1" applyAlignment="1">
      <alignment horizontal="center"/>
    </xf>
    <xf numFmtId="10" fontId="15" fillId="0" borderId="3" xfId="23" applyNumberFormat="1" applyFont="1" applyBorder="1" applyAlignment="1">
      <alignment horizontal="center"/>
    </xf>
    <xf numFmtId="10" fontId="15" fillId="0" borderId="5" xfId="23" applyNumberFormat="1" applyFont="1" applyBorder="1" applyAlignment="1">
      <alignment horizontal="center"/>
    </xf>
    <xf numFmtId="10" fontId="7" fillId="0" borderId="0" xfId="0" applyNumberFormat="1" applyFont="1" applyFill="1" applyBorder="1" applyAlignment="1">
      <alignment horizontal="right" vertical="center" indent="1"/>
    </xf>
    <xf numFmtId="10" fontId="7" fillId="0" borderId="4" xfId="0" applyNumberFormat="1" applyFont="1" applyFill="1" applyBorder="1" applyAlignment="1">
      <alignment horizontal="right" vertical="center" indent="1"/>
    </xf>
    <xf numFmtId="10" fontId="15" fillId="0" borderId="4" xfId="23" applyNumberFormat="1" applyFont="1" applyBorder="1" applyAlignment="1">
      <alignment horizontal="center"/>
    </xf>
    <xf numFmtId="0" fontId="36" fillId="2" borderId="0" xfId="0" applyFont="1" applyFill="1" applyBorder="1" applyAlignment="1" applyProtection="1">
      <alignment/>
      <protection/>
    </xf>
    <xf numFmtId="0" fontId="36" fillId="6" borderId="0" xfId="0" applyFont="1" applyFill="1" applyBorder="1" applyAlignment="1" applyProtection="1">
      <alignment/>
      <protection locked="0"/>
    </xf>
    <xf numFmtId="0" fontId="37" fillId="0" borderId="0" xfId="0" applyFont="1" applyBorder="1" applyAlignment="1" applyProtection="1">
      <alignment/>
      <protection/>
    </xf>
    <xf numFmtId="0" fontId="38" fillId="0" borderId="0" xfId="0" applyFont="1" applyFill="1" applyBorder="1" applyAlignment="1" applyProtection="1">
      <alignment horizontal="left" vertical="center"/>
      <protection/>
    </xf>
    <xf numFmtId="0" fontId="39" fillId="6" borderId="8" xfId="0" applyFont="1" applyFill="1" applyBorder="1" applyAlignment="1" applyProtection="1">
      <alignment horizontal="left"/>
      <protection/>
    </xf>
    <xf numFmtId="0" fontId="39" fillId="6" borderId="7" xfId="0" applyFont="1" applyFill="1" applyBorder="1" applyAlignment="1" applyProtection="1">
      <alignment horizontal="left"/>
      <protection/>
    </xf>
    <xf numFmtId="0" fontId="37" fillId="0" borderId="0" xfId="0" applyFont="1" applyFill="1" applyBorder="1" applyAlignment="1" applyProtection="1">
      <alignment/>
      <protection/>
    </xf>
    <xf numFmtId="0" fontId="37" fillId="0" borderId="0" xfId="0" applyFont="1" applyFill="1" applyBorder="1" applyAlignment="1" applyProtection="1">
      <alignment horizontal="right"/>
      <protection/>
    </xf>
    <xf numFmtId="0" fontId="36" fillId="6" borderId="0" xfId="0" applyFont="1" applyFill="1" applyBorder="1" applyAlignment="1" applyProtection="1">
      <alignment horizontal="left"/>
      <protection locked="0"/>
    </xf>
    <xf numFmtId="0" fontId="39" fillId="7" borderId="10" xfId="0" applyFont="1" applyFill="1" applyBorder="1" applyAlignment="1" applyProtection="1">
      <alignment horizontal="left"/>
      <protection/>
    </xf>
    <xf numFmtId="0" fontId="39" fillId="7" borderId="11" xfId="0" applyFont="1" applyFill="1" applyBorder="1" applyAlignment="1" applyProtection="1">
      <alignment horizontal="left"/>
      <protection/>
    </xf>
    <xf numFmtId="0" fontId="40" fillId="0" borderId="0" xfId="0" applyFont="1" applyBorder="1" applyAlignment="1" applyProtection="1">
      <alignment vertical="center" wrapText="1"/>
      <protection/>
    </xf>
    <xf numFmtId="0" fontId="40" fillId="0" borderId="0" xfId="0" applyFont="1" applyBorder="1" applyAlignment="1" applyProtection="1">
      <alignment horizontal="right" vertical="center" wrapText="1"/>
      <protection/>
    </xf>
    <xf numFmtId="0" fontId="37" fillId="0" borderId="4" xfId="0" applyFont="1" applyBorder="1" applyAlignment="1" applyProtection="1">
      <alignment/>
      <protection/>
    </xf>
    <xf numFmtId="0" fontId="41" fillId="0" borderId="4" xfId="0" applyFont="1" applyFill="1" applyBorder="1" applyAlignment="1" applyProtection="1">
      <alignment vertical="center"/>
      <protection/>
    </xf>
    <xf numFmtId="0" fontId="39" fillId="5" borderId="9" xfId="0" applyFont="1" applyFill="1" applyBorder="1" applyAlignment="1" applyProtection="1">
      <alignment/>
      <protection/>
    </xf>
    <xf numFmtId="0" fontId="39" fillId="5" borderId="15" xfId="0" applyFont="1" applyFill="1" applyBorder="1" applyAlignment="1" applyProtection="1">
      <alignment/>
      <protection/>
    </xf>
    <xf numFmtId="0" fontId="36" fillId="2" borderId="6" xfId="0" applyFont="1" applyFill="1" applyBorder="1" applyAlignment="1" applyProtection="1">
      <alignment horizontal="center"/>
      <protection/>
    </xf>
    <xf numFmtId="0" fontId="37" fillId="6" borderId="0" xfId="0" applyFont="1" applyFill="1" applyBorder="1" applyAlignment="1" applyProtection="1">
      <alignment/>
      <protection/>
    </xf>
    <xf numFmtId="180" fontId="37" fillId="0" borderId="0" xfId="15" applyNumberFormat="1" applyFont="1" applyFill="1" applyBorder="1" applyAlignment="1" applyProtection="1">
      <alignment horizontal="right"/>
      <protection/>
    </xf>
    <xf numFmtId="191" fontId="37" fillId="6" borderId="0" xfId="23" applyNumberFormat="1" applyFont="1" applyFill="1" applyBorder="1" applyAlignment="1" applyProtection="1">
      <alignment horizontal="center"/>
      <protection locked="0"/>
    </xf>
    <xf numFmtId="180" fontId="37" fillId="0" borderId="0" xfId="15" applyNumberFormat="1" applyFont="1" applyFill="1" applyBorder="1" applyAlignment="1" applyProtection="1">
      <alignment horizontal="center"/>
      <protection/>
    </xf>
    <xf numFmtId="0" fontId="36" fillId="0" borderId="10" xfId="0" applyFont="1" applyBorder="1" applyAlignment="1" applyProtection="1">
      <alignment horizontal="center" wrapText="1"/>
      <protection/>
    </xf>
    <xf numFmtId="0" fontId="36" fillId="0" borderId="11" xfId="0" applyFont="1" applyBorder="1" applyAlignment="1" applyProtection="1">
      <alignment horizontal="center" vertical="center" wrapText="1"/>
      <protection/>
    </xf>
    <xf numFmtId="9" fontId="37" fillId="6" borderId="0" xfId="23" applyFont="1" applyFill="1" applyBorder="1" applyAlignment="1" applyProtection="1">
      <alignment horizontal="right"/>
      <protection locked="0"/>
    </xf>
    <xf numFmtId="191" fontId="37" fillId="0" borderId="0" xfId="23" applyNumberFormat="1" applyFont="1" applyFill="1" applyBorder="1" applyAlignment="1" applyProtection="1">
      <alignment horizontal="center"/>
      <protection locked="0"/>
    </xf>
    <xf numFmtId="192" fontId="37" fillId="0" borderId="10" xfId="0" applyNumberFormat="1" applyFont="1" applyBorder="1" applyAlignment="1" applyProtection="1">
      <alignment/>
      <protection/>
    </xf>
    <xf numFmtId="196" fontId="37" fillId="7" borderId="11" xfId="0" applyNumberFormat="1" applyFont="1" applyFill="1" applyBorder="1" applyAlignment="1" applyProtection="1">
      <alignment horizontal="right"/>
      <protection locked="0"/>
    </xf>
    <xf numFmtId="0" fontId="37" fillId="0" borderId="0" xfId="0" applyFont="1" applyFill="1" applyBorder="1" applyAlignment="1" applyProtection="1">
      <alignment/>
      <protection/>
    </xf>
    <xf numFmtId="9" fontId="37" fillId="0" borderId="0" xfId="23" applyFont="1" applyFill="1" applyBorder="1" applyAlignment="1" applyProtection="1">
      <alignment horizontal="right"/>
      <protection locked="0"/>
    </xf>
    <xf numFmtId="0" fontId="39" fillId="0" borderId="0" xfId="0" applyFont="1" applyFill="1" applyBorder="1" applyAlignment="1" applyProtection="1">
      <alignment/>
      <protection/>
    </xf>
    <xf numFmtId="0" fontId="36" fillId="0" borderId="0" xfId="0" applyFont="1" applyFill="1" applyBorder="1" applyAlignment="1" applyProtection="1">
      <alignment horizontal="center"/>
      <protection/>
    </xf>
    <xf numFmtId="0" fontId="36" fillId="0" borderId="0" xfId="0" applyFont="1" applyFill="1" applyBorder="1" applyAlignment="1" applyProtection="1">
      <alignment/>
      <protection/>
    </xf>
    <xf numFmtId="180" fontId="41" fillId="0" borderId="0" xfId="15" applyNumberFormat="1" applyFont="1" applyFill="1" applyBorder="1" applyAlignment="1" applyProtection="1">
      <alignment horizontal="left"/>
      <protection/>
    </xf>
    <xf numFmtId="191" fontId="37" fillId="6" borderId="10" xfId="23" applyNumberFormat="1" applyFont="1" applyFill="1" applyBorder="1" applyAlignment="1" applyProtection="1">
      <alignment horizontal="center"/>
      <protection locked="0"/>
    </xf>
    <xf numFmtId="191" fontId="37" fillId="6" borderId="0" xfId="23" applyNumberFormat="1" applyFont="1" applyFill="1" applyBorder="1" applyAlignment="1" applyProtection="1">
      <alignment horizontal="center"/>
      <protection locked="0"/>
    </xf>
    <xf numFmtId="10" fontId="37" fillId="6" borderId="10" xfId="23" applyNumberFormat="1" applyFont="1" applyFill="1" applyBorder="1" applyAlignment="1" applyProtection="1">
      <alignment horizontal="center"/>
      <protection locked="0"/>
    </xf>
    <xf numFmtId="10" fontId="37" fillId="6" borderId="11" xfId="23" applyNumberFormat="1" applyFont="1" applyFill="1" applyBorder="1" applyAlignment="1" applyProtection="1">
      <alignment horizontal="center"/>
      <protection locked="0"/>
    </xf>
    <xf numFmtId="180" fontId="37" fillId="6" borderId="0" xfId="15" applyNumberFormat="1" applyFont="1" applyFill="1" applyBorder="1" applyAlignment="1" applyProtection="1">
      <alignment horizontal="center"/>
      <protection locked="0"/>
    </xf>
    <xf numFmtId="180" fontId="37" fillId="6" borderId="4" xfId="15" applyNumberFormat="1" applyFont="1" applyFill="1" applyBorder="1" applyAlignment="1" applyProtection="1">
      <alignment horizontal="center"/>
      <protection locked="0"/>
    </xf>
    <xf numFmtId="191" fontId="37" fillId="6" borderId="9" xfId="23" applyNumberFormat="1" applyFont="1" applyFill="1" applyBorder="1" applyAlignment="1" applyProtection="1">
      <alignment horizontal="center"/>
      <protection locked="0"/>
    </xf>
    <xf numFmtId="191" fontId="37" fillId="6" borderId="4" xfId="23" applyNumberFormat="1" applyFont="1" applyFill="1" applyBorder="1" applyAlignment="1" applyProtection="1">
      <alignment horizontal="center"/>
      <protection locked="0"/>
    </xf>
    <xf numFmtId="191" fontId="37" fillId="6" borderId="4" xfId="23" applyNumberFormat="1" applyFont="1" applyFill="1" applyBorder="1" applyAlignment="1" applyProtection="1">
      <alignment horizontal="center"/>
      <protection locked="0"/>
    </xf>
    <xf numFmtId="10" fontId="37" fillId="6" borderId="9" xfId="23" applyNumberFormat="1" applyFont="1" applyFill="1" applyBorder="1" applyAlignment="1" applyProtection="1">
      <alignment horizontal="center"/>
      <protection locked="0"/>
    </xf>
    <xf numFmtId="10" fontId="37" fillId="6" borderId="15" xfId="23" applyNumberFormat="1" applyFont="1" applyFill="1" applyBorder="1" applyAlignment="1" applyProtection="1">
      <alignment horizontal="center"/>
      <protection locked="0"/>
    </xf>
    <xf numFmtId="180" fontId="37" fillId="0" borderId="0" xfId="15" applyNumberFormat="1" applyFont="1" applyFill="1" applyBorder="1" applyAlignment="1" applyProtection="1">
      <alignment horizontal="center"/>
      <protection locked="0"/>
    </xf>
    <xf numFmtId="0" fontId="41" fillId="0" borderId="0" xfId="0" applyFont="1" applyFill="1" applyBorder="1" applyAlignment="1" applyProtection="1">
      <alignment/>
      <protection/>
    </xf>
    <xf numFmtId="10" fontId="37" fillId="0" borderId="0" xfId="23" applyNumberFormat="1" applyFont="1" applyFill="1" applyBorder="1" applyAlignment="1" applyProtection="1">
      <alignment horizontal="center"/>
      <protection locked="0"/>
    </xf>
    <xf numFmtId="191" fontId="37" fillId="0" borderId="0" xfId="23" applyNumberFormat="1" applyFont="1" applyFill="1" applyBorder="1" applyAlignment="1" applyProtection="1">
      <alignment horizontal="center"/>
      <protection locked="0"/>
    </xf>
    <xf numFmtId="1" fontId="37" fillId="0" borderId="0" xfId="23" applyNumberFormat="1" applyFont="1" applyFill="1" applyBorder="1" applyAlignment="1" applyProtection="1">
      <alignment horizontal="center"/>
      <protection locked="0"/>
    </xf>
    <xf numFmtId="0" fontId="38" fillId="6" borderId="6" xfId="0" applyFont="1" applyFill="1" applyBorder="1" applyAlignment="1" applyProtection="1">
      <alignment horizontal="center"/>
      <protection locked="0"/>
    </xf>
    <xf numFmtId="0" fontId="36" fillId="0" borderId="6" xfId="0" applyFont="1" applyFill="1" applyBorder="1" applyAlignment="1" applyProtection="1">
      <alignment/>
      <protection/>
    </xf>
    <xf numFmtId="0" fontId="42" fillId="0" borderId="0" xfId="0" applyFont="1" applyFill="1" applyBorder="1" applyAlignment="1" applyProtection="1">
      <alignment/>
      <protection/>
    </xf>
    <xf numFmtId="180" fontId="37" fillId="0" borderId="0" xfId="15" applyNumberFormat="1" applyFont="1" applyFill="1" applyBorder="1" applyAlignment="1" applyProtection="1">
      <alignment/>
      <protection/>
    </xf>
    <xf numFmtId="0" fontId="38" fillId="0" borderId="0" xfId="0" applyFont="1" applyFill="1" applyBorder="1" applyAlignment="1" applyProtection="1">
      <alignment/>
      <protection/>
    </xf>
    <xf numFmtId="191" fontId="37" fillId="0" borderId="0" xfId="23" applyNumberFormat="1" applyFont="1" applyFill="1" applyBorder="1" applyAlignment="1" applyProtection="1">
      <alignment/>
      <protection/>
    </xf>
    <xf numFmtId="1" fontId="37" fillId="0" borderId="0" xfId="23" applyNumberFormat="1" applyFont="1" applyFill="1" applyBorder="1" applyAlignment="1" applyProtection="1">
      <alignment/>
      <protection/>
    </xf>
    <xf numFmtId="180" fontId="37" fillId="6" borderId="0" xfId="15" applyNumberFormat="1" applyFont="1" applyFill="1" applyBorder="1" applyAlignment="1" applyProtection="1">
      <alignment/>
      <protection locked="0"/>
    </xf>
    <xf numFmtId="1" fontId="37" fillId="6" borderId="11" xfId="23" applyNumberFormat="1" applyFont="1" applyFill="1" applyBorder="1" applyAlignment="1" applyProtection="1">
      <alignment horizontal="center"/>
      <protection locked="0"/>
    </xf>
    <xf numFmtId="192" fontId="37" fillId="0" borderId="0" xfId="0" applyNumberFormat="1" applyFont="1" applyBorder="1" applyAlignment="1" applyProtection="1">
      <alignment/>
      <protection/>
    </xf>
    <xf numFmtId="0" fontId="37" fillId="0" borderId="0" xfId="0" applyFont="1" applyFill="1" applyBorder="1" applyAlignment="1" applyProtection="1">
      <alignment/>
      <protection locked="0"/>
    </xf>
    <xf numFmtId="180" fontId="37" fillId="0" borderId="0" xfId="15" applyNumberFormat="1" applyFont="1" applyFill="1" applyBorder="1" applyAlignment="1" applyProtection="1">
      <alignment/>
      <protection locked="0"/>
    </xf>
    <xf numFmtId="191" fontId="37" fillId="0" borderId="0" xfId="23" applyNumberFormat="1" applyFont="1" applyFill="1" applyBorder="1" applyAlignment="1" applyProtection="1">
      <alignment horizontal="center"/>
      <protection/>
    </xf>
    <xf numFmtId="191" fontId="37" fillId="0" borderId="0" xfId="23" applyNumberFormat="1" applyFont="1" applyFill="1" applyBorder="1" applyAlignment="1" applyProtection="1">
      <alignment horizontal="center"/>
      <protection/>
    </xf>
    <xf numFmtId="10" fontId="37" fillId="0" borderId="0" xfId="23" applyNumberFormat="1" applyFont="1" applyFill="1" applyBorder="1" applyAlignment="1" applyProtection="1">
      <alignment horizontal="center"/>
      <protection/>
    </xf>
    <xf numFmtId="180" fontId="38" fillId="0" borderId="0" xfId="15" applyNumberFormat="1" applyFont="1" applyFill="1" applyBorder="1" applyAlignment="1" applyProtection="1">
      <alignment horizontal="left"/>
      <protection/>
    </xf>
    <xf numFmtId="10" fontId="37" fillId="0" borderId="0" xfId="23" applyNumberFormat="1" applyFont="1" applyFill="1" applyBorder="1" applyAlignment="1" applyProtection="1">
      <alignment/>
      <protection/>
    </xf>
    <xf numFmtId="192" fontId="37" fillId="0" borderId="9" xfId="0" applyNumberFormat="1" applyFont="1" applyBorder="1" applyAlignment="1" applyProtection="1">
      <alignment/>
      <protection/>
    </xf>
    <xf numFmtId="186" fontId="37" fillId="5" borderId="11" xfId="0" applyNumberFormat="1" applyFont="1" applyFill="1" applyBorder="1" applyAlignment="1" applyProtection="1">
      <alignment horizontal="right"/>
      <protection/>
    </xf>
    <xf numFmtId="3" fontId="37" fillId="5" borderId="4" xfId="15" applyNumberFormat="1" applyFont="1" applyFill="1" applyBorder="1" applyAlignment="1" applyProtection="1">
      <alignment horizontal="right"/>
      <protection/>
    </xf>
    <xf numFmtId="0" fontId="37" fillId="0" borderId="0" xfId="0" applyFont="1" applyFill="1" applyBorder="1" applyAlignment="1" applyProtection="1">
      <alignment horizontal="right"/>
      <protection/>
    </xf>
    <xf numFmtId="0" fontId="37" fillId="0" borderId="0" xfId="0" applyFont="1" applyBorder="1" applyAlignment="1" applyProtection="1">
      <alignment horizontal="right"/>
      <protection/>
    </xf>
    <xf numFmtId="186" fontId="37" fillId="5" borderId="11" xfId="15" applyNumberFormat="1" applyFont="1" applyFill="1" applyBorder="1" applyAlignment="1" applyProtection="1">
      <alignment horizontal="right"/>
      <protection/>
    </xf>
    <xf numFmtId="0" fontId="37" fillId="9" borderId="8" xfId="0" applyFont="1" applyFill="1" applyBorder="1" applyAlignment="1" applyProtection="1">
      <alignment/>
      <protection/>
    </xf>
    <xf numFmtId="0" fontId="37" fillId="9" borderId="7" xfId="0" applyFont="1" applyFill="1" applyBorder="1" applyAlignment="1" applyProtection="1">
      <alignment/>
      <protection/>
    </xf>
    <xf numFmtId="0" fontId="43" fillId="0" borderId="0" xfId="0" applyFont="1" applyFill="1" applyBorder="1" applyAlignment="1" applyProtection="1">
      <alignment/>
      <protection/>
    </xf>
    <xf numFmtId="43" fontId="37" fillId="5" borderId="11" xfId="15" applyFont="1" applyFill="1" applyBorder="1" applyAlignment="1" applyProtection="1">
      <alignment horizontal="right"/>
      <protection/>
    </xf>
    <xf numFmtId="0" fontId="37" fillId="9" borderId="9" xfId="0" applyFont="1" applyFill="1" applyBorder="1" applyAlignment="1" applyProtection="1">
      <alignment/>
      <protection/>
    </xf>
    <xf numFmtId="43" fontId="39" fillId="9" borderId="15" xfId="15" applyNumberFormat="1" applyFont="1" applyFill="1" applyBorder="1" applyAlignment="1" applyProtection="1">
      <alignment horizontal="center"/>
      <protection/>
    </xf>
    <xf numFmtId="0" fontId="36" fillId="0" borderId="10" xfId="0" applyFont="1" applyFill="1" applyBorder="1" applyAlignment="1" applyProtection="1">
      <alignment/>
      <protection/>
    </xf>
    <xf numFmtId="43" fontId="39" fillId="0" borderId="14" xfId="15" applyNumberFormat="1" applyFont="1" applyFill="1" applyBorder="1" applyAlignment="1" applyProtection="1">
      <alignment horizontal="center"/>
      <protection/>
    </xf>
    <xf numFmtId="2" fontId="43" fillId="0" borderId="0" xfId="0" applyNumberFormat="1" applyFont="1" applyFill="1" applyBorder="1" applyAlignment="1" applyProtection="1">
      <alignment/>
      <protection/>
    </xf>
    <xf numFmtId="1" fontId="44" fillId="0" borderId="0" xfId="0" applyNumberFormat="1" applyFont="1" applyBorder="1" applyAlignment="1" applyProtection="1">
      <alignment horizontal="right" vertical="center" indent="1"/>
      <protection/>
    </xf>
    <xf numFmtId="0" fontId="37" fillId="0" borderId="8" xfId="0" applyFont="1" applyBorder="1" applyAlignment="1" applyProtection="1">
      <alignment/>
      <protection/>
    </xf>
    <xf numFmtId="43" fontId="37" fillId="5" borderId="11" xfId="15" applyNumberFormat="1" applyFont="1" applyFill="1" applyBorder="1" applyAlignment="1" applyProtection="1">
      <alignment/>
      <protection/>
    </xf>
    <xf numFmtId="0" fontId="37" fillId="0" borderId="10" xfId="0" applyFont="1" applyBorder="1" applyAlignment="1" applyProtection="1">
      <alignment/>
      <protection/>
    </xf>
    <xf numFmtId="187" fontId="37" fillId="5" borderId="11" xfId="15" applyNumberFormat="1" applyFont="1" applyFill="1" applyBorder="1" applyAlignment="1" applyProtection="1">
      <alignment/>
      <protection/>
    </xf>
    <xf numFmtId="0" fontId="36" fillId="0" borderId="0" xfId="0" applyFont="1" applyBorder="1" applyAlignment="1" applyProtection="1">
      <alignment/>
      <protection/>
    </xf>
    <xf numFmtId="187" fontId="37" fillId="5" borderId="11" xfId="15" applyNumberFormat="1" applyFont="1" applyFill="1" applyBorder="1" applyAlignment="1" applyProtection="1">
      <alignment horizontal="right"/>
      <protection/>
    </xf>
    <xf numFmtId="192" fontId="37" fillId="6" borderId="11" xfId="15" applyNumberFormat="1" applyFont="1" applyFill="1" applyBorder="1" applyAlignment="1" applyProtection="1">
      <alignment/>
      <protection locked="0"/>
    </xf>
    <xf numFmtId="180" fontId="36" fillId="0" borderId="0" xfId="17" applyNumberFormat="1" applyFont="1" applyBorder="1" applyAlignment="1" applyProtection="1">
      <alignment/>
      <protection/>
    </xf>
    <xf numFmtId="181" fontId="44" fillId="0" borderId="0" xfId="0" applyNumberFormat="1" applyFont="1" applyFill="1" applyBorder="1" applyAlignment="1" applyProtection="1">
      <alignment/>
      <protection/>
    </xf>
    <xf numFmtId="0" fontId="37" fillId="0" borderId="9" xfId="0" applyFont="1" applyBorder="1" applyAlignment="1" applyProtection="1">
      <alignment/>
      <protection/>
    </xf>
    <xf numFmtId="187" fontId="37" fillId="5" borderId="15" xfId="15" applyNumberFormat="1" applyFont="1" applyFill="1" applyBorder="1" applyAlignment="1" applyProtection="1">
      <alignment/>
      <protection/>
    </xf>
    <xf numFmtId="0" fontId="37" fillId="0" borderId="10" xfId="0" applyFont="1" applyFill="1" applyBorder="1" applyAlignment="1" applyProtection="1">
      <alignment/>
      <protection/>
    </xf>
    <xf numFmtId="10" fontId="37" fillId="7" borderId="11" xfId="23" applyNumberFormat="1" applyFont="1" applyFill="1" applyBorder="1" applyAlignment="1" applyProtection="1">
      <alignment/>
      <protection locked="0"/>
    </xf>
    <xf numFmtId="186" fontId="37" fillId="0" borderId="0" xfId="0" applyNumberFormat="1" applyFont="1" applyBorder="1" applyAlignment="1" applyProtection="1">
      <alignment/>
      <protection/>
    </xf>
    <xf numFmtId="0" fontId="36" fillId="0" borderId="0" xfId="0" applyFont="1" applyBorder="1" applyAlignment="1" applyProtection="1">
      <alignment horizontal="center"/>
      <protection/>
    </xf>
    <xf numFmtId="180" fontId="36" fillId="0" borderId="0" xfId="0" applyNumberFormat="1" applyFont="1" applyBorder="1" applyAlignment="1" applyProtection="1">
      <alignment/>
      <protection/>
    </xf>
    <xf numFmtId="10" fontId="37" fillId="7" borderId="15" xfId="23" applyNumberFormat="1" applyFont="1" applyFill="1" applyBorder="1" applyAlignment="1" applyProtection="1">
      <alignment/>
      <protection locked="0"/>
    </xf>
    <xf numFmtId="0" fontId="36" fillId="0" borderId="8" xfId="0" applyFont="1" applyFill="1" applyBorder="1" applyAlignment="1" applyProtection="1">
      <alignment/>
      <protection/>
    </xf>
    <xf numFmtId="191" fontId="36" fillId="5" borderId="24" xfId="23" applyNumberFormat="1" applyFont="1" applyFill="1" applyBorder="1" applyAlignment="1" applyProtection="1">
      <alignment/>
      <protection/>
    </xf>
    <xf numFmtId="0" fontId="36" fillId="5" borderId="24" xfId="0" applyFont="1" applyFill="1" applyBorder="1" applyAlignment="1" applyProtection="1">
      <alignment/>
      <protection/>
    </xf>
    <xf numFmtId="0" fontId="36" fillId="5" borderId="7" xfId="0" applyFont="1" applyFill="1" applyBorder="1" applyAlignment="1" applyProtection="1">
      <alignment/>
      <protection/>
    </xf>
    <xf numFmtId="0" fontId="37" fillId="0" borderId="24" xfId="0" applyFont="1" applyBorder="1" applyAlignment="1" applyProtection="1">
      <alignment/>
      <protection/>
    </xf>
    <xf numFmtId="0" fontId="36" fillId="2" borderId="6" xfId="0" applyFont="1" applyFill="1" applyBorder="1" applyAlignment="1" applyProtection="1">
      <alignment vertical="center"/>
      <protection/>
    </xf>
    <xf numFmtId="0" fontId="37" fillId="2" borderId="23" xfId="0" applyFont="1" applyFill="1" applyBorder="1" applyAlignment="1" applyProtection="1">
      <alignment/>
      <protection/>
    </xf>
    <xf numFmtId="0" fontId="37" fillId="2" borderId="14" xfId="0" applyFont="1" applyFill="1" applyBorder="1" applyAlignment="1" applyProtection="1">
      <alignment/>
      <protection/>
    </xf>
    <xf numFmtId="0" fontId="37" fillId="0" borderId="10" xfId="0" applyFont="1" applyFill="1" applyBorder="1" applyAlignment="1" applyProtection="1">
      <alignment/>
      <protection/>
    </xf>
    <xf numFmtId="0" fontId="36" fillId="5" borderId="0" xfId="0" applyFont="1" applyFill="1" applyBorder="1" applyAlignment="1" applyProtection="1">
      <alignment/>
      <protection/>
    </xf>
    <xf numFmtId="0" fontId="36" fillId="5" borderId="11" xfId="0" applyFont="1" applyFill="1" applyBorder="1" applyAlignment="1" applyProtection="1">
      <alignment/>
      <protection/>
    </xf>
    <xf numFmtId="0" fontId="37" fillId="5" borderId="2" xfId="0" applyFont="1" applyFill="1" applyBorder="1" applyAlignment="1" applyProtection="1">
      <alignment horizontal="center"/>
      <protection/>
    </xf>
    <xf numFmtId="191" fontId="37" fillId="5" borderId="0" xfId="0" applyNumberFormat="1" applyFont="1" applyFill="1" applyBorder="1" applyAlignment="1" applyProtection="1">
      <alignment horizontal="center"/>
      <protection/>
    </xf>
    <xf numFmtId="0" fontId="37" fillId="5" borderId="0" xfId="0" applyFont="1" applyFill="1" applyBorder="1" applyAlignment="1" applyProtection="1">
      <alignment/>
      <protection/>
    </xf>
    <xf numFmtId="0" fontId="37" fillId="5" borderId="11" xfId="0" applyFont="1" applyFill="1" applyBorder="1" applyAlignment="1" applyProtection="1">
      <alignment/>
      <protection/>
    </xf>
    <xf numFmtId="0" fontId="37" fillId="5" borderId="3" xfId="0" applyFont="1" applyFill="1" applyBorder="1" applyAlignment="1" applyProtection="1">
      <alignment horizontal="center"/>
      <protection/>
    </xf>
    <xf numFmtId="0" fontId="37" fillId="0" borderId="9" xfId="0" applyFont="1" applyBorder="1" applyAlignment="1" applyProtection="1">
      <alignment/>
      <protection/>
    </xf>
    <xf numFmtId="0" fontId="37" fillId="5" borderId="15" xfId="0" applyFont="1" applyFill="1" applyBorder="1" applyAlignment="1" applyProtection="1">
      <alignment horizontal="right"/>
      <protection/>
    </xf>
    <xf numFmtId="0" fontId="36" fillId="5" borderId="0" xfId="0" applyFont="1" applyFill="1" applyBorder="1" applyAlignment="1" applyProtection="1">
      <alignment/>
      <protection/>
    </xf>
    <xf numFmtId="0" fontId="37" fillId="5" borderId="5" xfId="0" applyFont="1" applyFill="1" applyBorder="1" applyAlignment="1" applyProtection="1">
      <alignment horizontal="center"/>
      <protection/>
    </xf>
    <xf numFmtId="191" fontId="37" fillId="5" borderId="4" xfId="0" applyNumberFormat="1" applyFont="1" applyFill="1" applyBorder="1" applyAlignment="1" applyProtection="1">
      <alignment horizontal="center"/>
      <protection/>
    </xf>
    <xf numFmtId="0" fontId="37" fillId="5" borderId="4" xfId="0" applyFont="1" applyFill="1" applyBorder="1" applyAlignment="1" applyProtection="1">
      <alignment/>
      <protection/>
    </xf>
    <xf numFmtId="0" fontId="37" fillId="5" borderId="15" xfId="0" applyFont="1" applyFill="1" applyBorder="1" applyAlignment="1" applyProtection="1">
      <alignment/>
      <protection/>
    </xf>
    <xf numFmtId="0" fontId="36" fillId="5" borderId="11" xfId="0" applyFont="1" applyFill="1" applyBorder="1" applyAlignment="1" applyProtection="1">
      <alignment horizontal="center" wrapText="1"/>
      <protection/>
    </xf>
    <xf numFmtId="0" fontId="36" fillId="0" borderId="0" xfId="0" applyFont="1" applyBorder="1" applyAlignment="1" applyProtection="1">
      <alignment horizontal="center" wrapText="1"/>
      <protection/>
    </xf>
    <xf numFmtId="0" fontId="37" fillId="0" borderId="10" xfId="0" applyFont="1" applyFill="1" applyBorder="1" applyAlignment="1" applyProtection="1">
      <alignment vertical="center" wrapText="1"/>
      <protection/>
    </xf>
    <xf numFmtId="0" fontId="37" fillId="0" borderId="9" xfId="0" applyFont="1" applyFill="1" applyBorder="1" applyAlignment="1" applyProtection="1">
      <alignment vertical="center" wrapText="1"/>
      <protection/>
    </xf>
    <xf numFmtId="0" fontId="36" fillId="5" borderId="4" xfId="0" applyFont="1" applyFill="1" applyBorder="1" applyAlignment="1" applyProtection="1">
      <alignment/>
      <protection/>
    </xf>
    <xf numFmtId="0" fontId="36" fillId="5" borderId="4" xfId="0" applyFont="1" applyFill="1" applyBorder="1" applyAlignment="1" applyProtection="1">
      <alignment/>
      <protection/>
    </xf>
    <xf numFmtId="0" fontId="36" fillId="5" borderId="15" xfId="0" applyFont="1" applyFill="1" applyBorder="1" applyAlignment="1" applyProtection="1">
      <alignment/>
      <protection/>
    </xf>
    <xf numFmtId="0" fontId="45" fillId="0" borderId="0" xfId="0" applyFont="1" applyAlignment="1">
      <alignment/>
    </xf>
    <xf numFmtId="0" fontId="46" fillId="0" borderId="0" xfId="0" applyFont="1" applyAlignment="1">
      <alignment/>
    </xf>
    <xf numFmtId="185" fontId="0" fillId="0" borderId="0" xfId="15" applyNumberFormat="1" applyAlignment="1">
      <alignment/>
    </xf>
    <xf numFmtId="191" fontId="37" fillId="6" borderId="11" xfId="23" applyNumberFormat="1" applyFont="1" applyFill="1" applyBorder="1" applyAlignment="1" applyProtection="1">
      <alignment horizontal="center"/>
      <protection locked="0"/>
    </xf>
    <xf numFmtId="1" fontId="37" fillId="0" borderId="0" xfId="23" applyNumberFormat="1" applyFont="1" applyFill="1" applyBorder="1" applyAlignment="1" applyProtection="1">
      <alignment horizontal="center"/>
      <protection/>
    </xf>
    <xf numFmtId="1" fontId="37" fillId="6" borderId="15" xfId="23" applyNumberFormat="1" applyFont="1" applyFill="1" applyBorder="1" applyAlignment="1" applyProtection="1">
      <alignment horizontal="center"/>
      <protection locked="0"/>
    </xf>
    <xf numFmtId="1" fontId="37" fillId="0" borderId="0" xfId="23" applyNumberFormat="1" applyFont="1" applyFill="1" applyBorder="1" applyAlignment="1" applyProtection="1">
      <alignment horizontal="center"/>
      <protection locked="0"/>
    </xf>
    <xf numFmtId="3" fontId="15" fillId="0" borderId="0" xfId="0" applyNumberFormat="1" applyFont="1" applyBorder="1" applyAlignment="1" applyProtection="1">
      <alignment/>
      <protection/>
    </xf>
    <xf numFmtId="3" fontId="17" fillId="0" borderId="0" xfId="0" applyNumberFormat="1" applyFont="1" applyBorder="1" applyAlignment="1" applyProtection="1">
      <alignment/>
      <protection/>
    </xf>
    <xf numFmtId="3" fontId="9" fillId="0" borderId="0" xfId="0" applyNumberFormat="1" applyFont="1" applyBorder="1" applyAlignment="1" applyProtection="1">
      <alignment/>
      <protection/>
    </xf>
    <xf numFmtId="192" fontId="15" fillId="0" borderId="0" xfId="0" applyNumberFormat="1" applyFont="1" applyBorder="1" applyAlignment="1" applyProtection="1">
      <alignment/>
      <protection/>
    </xf>
    <xf numFmtId="1" fontId="15" fillId="0" borderId="3" xfId="23" applyNumberFormat="1" applyFont="1" applyFill="1" applyBorder="1" applyAlignment="1" applyProtection="1">
      <alignment horizontal="center" vertical="center" wrapText="1"/>
      <protection/>
    </xf>
    <xf numFmtId="0" fontId="37" fillId="6" borderId="8" xfId="0" applyFont="1" applyFill="1" applyBorder="1" applyAlignment="1" applyProtection="1">
      <alignment/>
      <protection/>
    </xf>
    <xf numFmtId="191" fontId="37" fillId="6" borderId="24" xfId="23" applyNumberFormat="1" applyFont="1" applyFill="1" applyBorder="1" applyAlignment="1" applyProtection="1">
      <alignment horizontal="center"/>
      <protection locked="0"/>
    </xf>
    <xf numFmtId="191" fontId="37" fillId="6" borderId="24" xfId="23" applyNumberFormat="1" applyFont="1" applyFill="1" applyBorder="1" applyAlignment="1" applyProtection="1">
      <alignment horizontal="center"/>
      <protection locked="0"/>
    </xf>
    <xf numFmtId="1" fontId="37" fillId="6" borderId="7" xfId="23" applyNumberFormat="1" applyFont="1" applyFill="1" applyBorder="1" applyAlignment="1" applyProtection="1">
      <alignment horizontal="center"/>
      <protection locked="0"/>
    </xf>
    <xf numFmtId="9" fontId="37" fillId="6" borderId="7" xfId="23" applyNumberFormat="1" applyFont="1" applyFill="1" applyBorder="1" applyAlignment="1" applyProtection="1">
      <alignment horizontal="center"/>
      <protection locked="0"/>
    </xf>
    <xf numFmtId="0" fontId="37" fillId="6" borderId="10" xfId="0" applyFont="1" applyFill="1" applyBorder="1" applyAlignment="1" applyProtection="1">
      <alignment/>
      <protection/>
    </xf>
    <xf numFmtId="9" fontId="37" fillId="6" borderId="11" xfId="23" applyNumberFormat="1" applyFont="1" applyFill="1" applyBorder="1" applyAlignment="1" applyProtection="1">
      <alignment horizontal="center"/>
      <protection locked="0"/>
    </xf>
    <xf numFmtId="0" fontId="37" fillId="6" borderId="10" xfId="0" applyFont="1" applyFill="1" applyBorder="1" applyAlignment="1" applyProtection="1">
      <alignment/>
      <protection locked="0"/>
    </xf>
    <xf numFmtId="0" fontId="37" fillId="6" borderId="9" xfId="0" applyFont="1" applyFill="1" applyBorder="1" applyAlignment="1" applyProtection="1">
      <alignment/>
      <protection locked="0"/>
    </xf>
    <xf numFmtId="9" fontId="37" fillId="6" borderId="15" xfId="23" applyNumberFormat="1" applyFont="1" applyFill="1" applyBorder="1" applyAlignment="1" applyProtection="1">
      <alignment horizontal="center"/>
      <protection locked="0"/>
    </xf>
    <xf numFmtId="0" fontId="37" fillId="6" borderId="8" xfId="0" applyFont="1" applyFill="1" applyBorder="1" applyAlignment="1" applyProtection="1">
      <alignment/>
      <protection locked="0"/>
    </xf>
    <xf numFmtId="180" fontId="37" fillId="6" borderId="4" xfId="15" applyNumberFormat="1" applyFont="1" applyFill="1" applyBorder="1" applyAlignment="1" applyProtection="1">
      <alignment/>
      <protection locked="0"/>
    </xf>
    <xf numFmtId="9" fontId="37" fillId="6" borderId="5" xfId="23" applyNumberFormat="1" applyFont="1" applyFill="1" applyBorder="1" applyAlignment="1" applyProtection="1">
      <alignment horizontal="center"/>
      <protection locked="0"/>
    </xf>
    <xf numFmtId="3" fontId="37" fillId="5" borderId="24" xfId="15" applyNumberFormat="1" applyFont="1" applyFill="1" applyBorder="1" applyAlignment="1" applyProtection="1">
      <alignment horizontal="right"/>
      <protection/>
    </xf>
    <xf numFmtId="197" fontId="37" fillId="6" borderId="7" xfId="23" applyNumberFormat="1" applyFont="1" applyFill="1" applyBorder="1" applyAlignment="1" applyProtection="1">
      <alignment horizontal="center"/>
      <protection locked="0"/>
    </xf>
    <xf numFmtId="10" fontId="37" fillId="6" borderId="24" xfId="23" applyNumberFormat="1" applyFont="1" applyFill="1" applyBorder="1" applyAlignment="1" applyProtection="1">
      <alignment horizontal="center"/>
      <protection locked="0"/>
    </xf>
    <xf numFmtId="1" fontId="37" fillId="6" borderId="7" xfId="23" applyNumberFormat="1" applyFont="1" applyFill="1" applyBorder="1" applyAlignment="1" applyProtection="1">
      <alignment horizontal="center"/>
      <protection locked="0"/>
    </xf>
    <xf numFmtId="0" fontId="37" fillId="6" borderId="9" xfId="0" applyFont="1" applyFill="1" applyBorder="1" applyAlignment="1" applyProtection="1">
      <alignment/>
      <protection/>
    </xf>
    <xf numFmtId="191" fontId="37" fillId="6" borderId="15" xfId="23" applyNumberFormat="1" applyFont="1" applyFill="1" applyBorder="1" applyAlignment="1" applyProtection="1">
      <alignment horizontal="center"/>
      <protection locked="0"/>
    </xf>
    <xf numFmtId="197" fontId="37" fillId="6" borderId="15" xfId="23" applyNumberFormat="1" applyFont="1" applyFill="1" applyBorder="1" applyAlignment="1" applyProtection="1">
      <alignment horizontal="center"/>
      <protection locked="0"/>
    </xf>
    <xf numFmtId="10" fontId="37" fillId="6" borderId="4" xfId="23" applyNumberFormat="1" applyFont="1" applyFill="1" applyBorder="1" applyAlignment="1" applyProtection="1">
      <alignment horizontal="center"/>
      <protection locked="0"/>
    </xf>
    <xf numFmtId="1" fontId="37" fillId="6" borderId="15" xfId="23" applyNumberFormat="1" applyFont="1" applyFill="1" applyBorder="1" applyAlignment="1" applyProtection="1">
      <alignment horizontal="center"/>
      <protection locked="0"/>
    </xf>
    <xf numFmtId="186" fontId="15" fillId="0" borderId="0" xfId="15" applyNumberFormat="1" applyFont="1" applyFill="1" applyBorder="1" applyAlignment="1" applyProtection="1">
      <alignment/>
      <protection/>
    </xf>
    <xf numFmtId="187" fontId="15" fillId="0" borderId="0" xfId="15" applyNumberFormat="1" applyFont="1" applyFill="1" applyBorder="1" applyAlignment="1" applyProtection="1">
      <alignment/>
      <protection/>
    </xf>
    <xf numFmtId="0" fontId="17" fillId="5" borderId="11" xfId="0" applyFont="1" applyFill="1" applyBorder="1" applyAlignment="1" applyProtection="1">
      <alignment vertical="center" wrapText="1"/>
      <protection/>
    </xf>
    <xf numFmtId="0" fontId="15" fillId="5" borderId="8" xfId="0" applyFont="1" applyFill="1" applyBorder="1" applyAlignment="1" applyProtection="1">
      <alignment horizontal="center"/>
      <protection/>
    </xf>
    <xf numFmtId="0" fontId="15" fillId="5" borderId="10" xfId="0" applyFont="1" applyFill="1" applyBorder="1" applyAlignment="1" applyProtection="1">
      <alignment horizontal="center"/>
      <protection/>
    </xf>
    <xf numFmtId="191" fontId="15" fillId="5" borderId="10" xfId="0" applyNumberFormat="1" applyFont="1" applyFill="1" applyBorder="1" applyAlignment="1" applyProtection="1">
      <alignment horizontal="center"/>
      <protection/>
    </xf>
    <xf numFmtId="191" fontId="15" fillId="5" borderId="9" xfId="0" applyNumberFormat="1" applyFont="1" applyFill="1" applyBorder="1" applyAlignment="1" applyProtection="1">
      <alignment horizontal="center"/>
      <protection/>
    </xf>
    <xf numFmtId="0" fontId="15" fillId="5" borderId="15" xfId="0" applyFont="1" applyFill="1" applyBorder="1" applyAlignment="1" applyProtection="1">
      <alignment/>
      <protection/>
    </xf>
    <xf numFmtId="0" fontId="15" fillId="0" borderId="10" xfId="0" applyFont="1" applyFill="1" applyBorder="1" applyAlignment="1" applyProtection="1">
      <alignment/>
      <protection/>
    </xf>
    <xf numFmtId="0" fontId="15" fillId="6" borderId="0" xfId="0" applyFont="1" applyFill="1" applyBorder="1" applyAlignment="1" applyProtection="1">
      <alignment horizontal="center" vertical="center" wrapText="1"/>
      <protection/>
    </xf>
    <xf numFmtId="180" fontId="37" fillId="6" borderId="11" xfId="15" applyNumberFormat="1" applyFont="1" applyFill="1" applyBorder="1" applyAlignment="1" applyProtection="1">
      <alignment horizontal="center"/>
      <protection locked="0"/>
    </xf>
    <xf numFmtId="180" fontId="37" fillId="6" borderId="15" xfId="15" applyNumberFormat="1" applyFont="1" applyFill="1" applyBorder="1" applyAlignment="1" applyProtection="1">
      <alignment/>
      <protection locked="0"/>
    </xf>
    <xf numFmtId="0" fontId="0" fillId="0" borderId="0" xfId="0" applyFont="1" applyAlignment="1">
      <alignment/>
    </xf>
    <xf numFmtId="0" fontId="17" fillId="2" borderId="8" xfId="0" applyFont="1" applyFill="1" applyBorder="1" applyAlignment="1" applyProtection="1">
      <alignment horizontal="center" vertical="center" wrapText="1"/>
      <protection/>
    </xf>
    <xf numFmtId="0" fontId="17" fillId="0" borderId="0" xfId="0" applyFont="1" applyFill="1" applyBorder="1" applyAlignment="1" applyProtection="1">
      <alignment horizontal="left"/>
      <protection/>
    </xf>
    <xf numFmtId="0" fontId="15" fillId="6" borderId="4" xfId="0" applyFont="1" applyFill="1" applyBorder="1" applyAlignment="1" applyProtection="1">
      <alignment vertical="center" wrapText="1"/>
      <protection/>
    </xf>
    <xf numFmtId="0" fontId="15" fillId="6" borderId="0" xfId="0" applyFont="1" applyFill="1" applyBorder="1" applyAlignment="1" applyProtection="1">
      <alignment/>
      <protection/>
    </xf>
    <xf numFmtId="192" fontId="15" fillId="0" borderId="4" xfId="0" applyNumberFormat="1" applyFont="1" applyBorder="1" applyAlignment="1" applyProtection="1">
      <alignment/>
      <protection/>
    </xf>
    <xf numFmtId="0" fontId="15" fillId="6" borderId="0" xfId="0" applyFont="1" applyFill="1" applyBorder="1" applyAlignment="1" applyProtection="1">
      <alignment/>
      <protection/>
    </xf>
    <xf numFmtId="192" fontId="20" fillId="6" borderId="0" xfId="15" applyNumberFormat="1" applyFont="1" applyFill="1" applyBorder="1" applyAlignment="1" applyProtection="1">
      <alignment/>
      <protection/>
    </xf>
    <xf numFmtId="0" fontId="17" fillId="0" borderId="23" xfId="0" applyFont="1" applyFill="1" applyBorder="1" applyAlignment="1" applyProtection="1">
      <alignment/>
      <protection/>
    </xf>
    <xf numFmtId="0" fontId="15" fillId="0" borderId="8" xfId="0" applyFont="1" applyFill="1" applyBorder="1" applyAlignment="1" applyProtection="1">
      <alignment/>
      <protection/>
    </xf>
    <xf numFmtId="0" fontId="15" fillId="0" borderId="10" xfId="0" applyFont="1" applyFill="1" applyBorder="1" applyAlignment="1" applyProtection="1">
      <alignment/>
      <protection locked="0"/>
    </xf>
    <xf numFmtId="0" fontId="15" fillId="0" borderId="9" xfId="0" applyFont="1" applyFill="1" applyBorder="1" applyAlignment="1" applyProtection="1">
      <alignment/>
      <protection locked="0"/>
    </xf>
    <xf numFmtId="0" fontId="18" fillId="0" borderId="2" xfId="0" applyFont="1" applyFill="1" applyBorder="1" applyAlignment="1" applyProtection="1">
      <alignment/>
      <protection/>
    </xf>
    <xf numFmtId="0" fontId="25" fillId="2" borderId="9" xfId="0" applyFont="1" applyFill="1" applyBorder="1" applyAlignment="1" applyProtection="1">
      <alignment horizontal="center"/>
      <protection/>
    </xf>
    <xf numFmtId="0" fontId="25" fillId="2" borderId="2" xfId="0" applyFont="1" applyFill="1" applyBorder="1" applyAlignment="1" applyProtection="1">
      <alignment vertical="center"/>
      <protection/>
    </xf>
    <xf numFmtId="0" fontId="15" fillId="2" borderId="7" xfId="0" applyFont="1" applyFill="1" applyBorder="1" applyAlignment="1" applyProtection="1">
      <alignment/>
      <protection/>
    </xf>
    <xf numFmtId="0" fontId="15" fillId="0" borderId="3" xfId="0" applyFont="1" applyBorder="1" applyAlignment="1" applyProtection="1">
      <alignment/>
      <protection/>
    </xf>
    <xf numFmtId="0" fontId="15" fillId="5" borderId="10" xfId="0" applyFont="1" applyFill="1" applyBorder="1" applyAlignment="1" applyProtection="1">
      <alignment/>
      <protection/>
    </xf>
    <xf numFmtId="0" fontId="15" fillId="0" borderId="3" xfId="0" applyFont="1" applyBorder="1" applyAlignment="1" applyProtection="1">
      <alignment wrapText="1"/>
      <protection/>
    </xf>
    <xf numFmtId="0" fontId="15" fillId="0" borderId="3" xfId="0" applyFont="1" applyBorder="1" applyAlignment="1" applyProtection="1">
      <alignment vertical="center" wrapText="1"/>
      <protection/>
    </xf>
    <xf numFmtId="0" fontId="15" fillId="5" borderId="4" xfId="0" applyFont="1" applyFill="1" applyBorder="1" applyAlignment="1" applyProtection="1">
      <alignment horizontal="center"/>
      <protection/>
    </xf>
    <xf numFmtId="0" fontId="15" fillId="5" borderId="10" xfId="0" applyFont="1" applyFill="1" applyBorder="1" applyAlignment="1" applyProtection="1">
      <alignment/>
      <protection/>
    </xf>
    <xf numFmtId="192" fontId="15" fillId="0" borderId="0" xfId="0" applyNumberFormat="1" applyFont="1" applyFill="1" applyBorder="1" applyAlignment="1" applyProtection="1">
      <alignment/>
      <protection/>
    </xf>
    <xf numFmtId="0" fontId="15" fillId="0" borderId="5" xfId="0" applyFont="1" applyBorder="1" applyAlignment="1" applyProtection="1">
      <alignment/>
      <protection/>
    </xf>
    <xf numFmtId="0" fontId="15" fillId="5" borderId="9" xfId="0" applyFont="1" applyFill="1" applyBorder="1" applyAlignment="1" applyProtection="1">
      <alignment/>
      <protection/>
    </xf>
    <xf numFmtId="0" fontId="41" fillId="0" borderId="24" xfId="0" applyFont="1" applyBorder="1" applyAlignment="1" applyProtection="1">
      <alignment/>
      <protection/>
    </xf>
    <xf numFmtId="0" fontId="15" fillId="0" borderId="0" xfId="0" applyFont="1" applyAlignment="1" applyProtection="1">
      <alignment/>
      <protection/>
    </xf>
    <xf numFmtId="0" fontId="6" fillId="0" borderId="0" xfId="0" applyFont="1" applyFill="1" applyBorder="1" applyAlignment="1" applyProtection="1">
      <alignment horizontal="left" vertical="center"/>
      <protection/>
    </xf>
    <xf numFmtId="0" fontId="6" fillId="0" borderId="4" xfId="0" applyFont="1" applyFill="1" applyBorder="1" applyAlignment="1" applyProtection="1">
      <alignment horizontal="left" vertical="center"/>
      <protection/>
    </xf>
    <xf numFmtId="0" fontId="47" fillId="0" borderId="0" xfId="0" applyFont="1" applyAlignment="1" applyProtection="1">
      <alignment horizontal="center"/>
      <protection locked="0"/>
    </xf>
    <xf numFmtId="180" fontId="37" fillId="6" borderId="24" xfId="15" applyNumberFormat="1" applyFont="1" applyFill="1" applyBorder="1" applyAlignment="1" applyProtection="1">
      <alignment horizontal="right"/>
      <protection locked="0"/>
    </xf>
    <xf numFmtId="180" fontId="37" fillId="6" borderId="24" xfId="15" applyNumberFormat="1" applyFont="1" applyFill="1" applyBorder="1" applyAlignment="1" applyProtection="1">
      <alignment horizontal="right"/>
      <protection locked="0"/>
    </xf>
    <xf numFmtId="191" fontId="37" fillId="6" borderId="8" xfId="23" applyNumberFormat="1" applyFont="1" applyFill="1" applyBorder="1" applyAlignment="1" applyProtection="1">
      <alignment horizontal="center"/>
      <protection locked="0"/>
    </xf>
    <xf numFmtId="10" fontId="37" fillId="6" borderId="8" xfId="23" applyNumberFormat="1" applyFont="1" applyFill="1" applyBorder="1" applyAlignment="1" applyProtection="1">
      <alignment horizontal="center"/>
      <protection locked="0"/>
    </xf>
    <xf numFmtId="10" fontId="37" fillId="6" borderId="7" xfId="23" applyNumberFormat="1" applyFont="1" applyFill="1" applyBorder="1" applyAlignment="1" applyProtection="1">
      <alignment horizontal="center"/>
      <protection locked="0"/>
    </xf>
    <xf numFmtId="180" fontId="37" fillId="6" borderId="24" xfId="15" applyNumberFormat="1" applyFont="1" applyFill="1" applyBorder="1" applyAlignment="1" applyProtection="1">
      <alignment/>
      <protection locked="0"/>
    </xf>
    <xf numFmtId="191" fontId="37" fillId="6" borderId="8" xfId="23" applyNumberFormat="1" applyFont="1" applyFill="1" applyBorder="1" applyAlignment="1" applyProtection="1">
      <alignment horizontal="center"/>
      <protection locked="0"/>
    </xf>
    <xf numFmtId="197" fontId="37" fillId="6" borderId="8" xfId="23" applyNumberFormat="1" applyFont="1" applyFill="1" applyBorder="1" applyAlignment="1" applyProtection="1">
      <alignment horizontal="center"/>
      <protection locked="0"/>
    </xf>
    <xf numFmtId="191" fontId="37" fillId="6" borderId="9" xfId="23" applyNumberFormat="1" applyFont="1" applyFill="1" applyBorder="1" applyAlignment="1" applyProtection="1">
      <alignment horizontal="center"/>
      <protection locked="0"/>
    </xf>
    <xf numFmtId="197" fontId="37" fillId="6" borderId="9" xfId="23" applyNumberFormat="1" applyFont="1" applyFill="1" applyBorder="1" applyAlignment="1" applyProtection="1">
      <alignment horizontal="center"/>
      <protection locked="0"/>
    </xf>
    <xf numFmtId="180" fontId="37" fillId="6" borderId="0" xfId="15" applyNumberFormat="1" applyFont="1" applyFill="1" applyBorder="1" applyAlignment="1" applyProtection="1">
      <alignment/>
      <protection locked="0"/>
    </xf>
    <xf numFmtId="0" fontId="15" fillId="6" borderId="2" xfId="0" applyFont="1" applyFill="1" applyBorder="1" applyAlignment="1" applyProtection="1">
      <alignment horizontal="center" vertical="center" wrapText="1"/>
      <protection/>
    </xf>
    <xf numFmtId="0" fontId="17" fillId="2" borderId="5" xfId="0" applyFont="1" applyFill="1" applyBorder="1" applyAlignment="1" applyProtection="1">
      <alignment horizontal="center" vertical="center" wrapText="1"/>
      <protection/>
    </xf>
    <xf numFmtId="0" fontId="17" fillId="2" borderId="25" xfId="0" applyFont="1" applyFill="1" applyBorder="1" applyAlignment="1" applyProtection="1">
      <alignment horizontal="center" wrapText="1"/>
      <protection/>
    </xf>
    <xf numFmtId="0" fontId="17" fillId="2" borderId="14" xfId="0" applyFont="1" applyFill="1" applyBorder="1" applyAlignment="1" applyProtection="1">
      <alignment horizontal="center" wrapText="1"/>
      <protection/>
    </xf>
    <xf numFmtId="197" fontId="15" fillId="6" borderId="8" xfId="23" applyNumberFormat="1" applyFont="1" applyFill="1" applyBorder="1" applyAlignment="1" applyProtection="1">
      <alignment horizontal="center" vertical="center" wrapText="1"/>
      <protection/>
    </xf>
    <xf numFmtId="197" fontId="15" fillId="6" borderId="7" xfId="23" applyNumberFormat="1" applyFont="1" applyFill="1" applyBorder="1" applyAlignment="1" applyProtection="1">
      <alignment horizontal="center" vertical="center" wrapText="1"/>
      <protection/>
    </xf>
    <xf numFmtId="197" fontId="15" fillId="6" borderId="9" xfId="23" applyNumberFormat="1" applyFont="1" applyFill="1" applyBorder="1" applyAlignment="1" applyProtection="1">
      <alignment horizontal="center" vertical="center" wrapText="1"/>
      <protection/>
    </xf>
    <xf numFmtId="197" fontId="15" fillId="6" borderId="15" xfId="23" applyNumberFormat="1" applyFont="1" applyFill="1" applyBorder="1" applyAlignment="1" applyProtection="1">
      <alignment horizontal="center" vertical="center" wrapText="1"/>
      <protection/>
    </xf>
    <xf numFmtId="9" fontId="15" fillId="5" borderId="0" xfId="23" applyFont="1" applyFill="1" applyBorder="1" applyAlignment="1" applyProtection="1">
      <alignment horizontal="center" vertical="center" wrapText="1"/>
      <protection/>
    </xf>
    <xf numFmtId="9" fontId="15" fillId="5" borderId="11" xfId="23" applyFont="1" applyFill="1" applyBorder="1" applyAlignment="1" applyProtection="1">
      <alignment horizontal="center" vertical="center" wrapText="1"/>
      <protection/>
    </xf>
    <xf numFmtId="9" fontId="15" fillId="5" borderId="4" xfId="23" applyFont="1" applyFill="1" applyBorder="1" applyAlignment="1" applyProtection="1">
      <alignment horizontal="center" vertical="center" wrapText="1"/>
      <protection/>
    </xf>
    <xf numFmtId="9" fontId="15" fillId="5" borderId="15" xfId="23" applyFont="1" applyFill="1" applyBorder="1" applyAlignment="1" applyProtection="1">
      <alignment horizontal="center" vertical="center" wrapText="1"/>
      <protection/>
    </xf>
    <xf numFmtId="191" fontId="15" fillId="7" borderId="7" xfId="23" applyNumberFormat="1" applyFont="1" applyFill="1" applyBorder="1" applyAlignment="1" applyProtection="1">
      <alignment horizontal="center" vertical="center" wrapText="1"/>
      <protection/>
    </xf>
    <xf numFmtId="191" fontId="15" fillId="7" borderId="11" xfId="23" applyNumberFormat="1" applyFont="1" applyFill="1" applyBorder="1" applyAlignment="1" applyProtection="1">
      <alignment horizontal="center" vertical="center" wrapText="1"/>
      <protection/>
    </xf>
    <xf numFmtId="191" fontId="15" fillId="7" borderId="15" xfId="23" applyNumberFormat="1" applyFont="1" applyFill="1" applyBorder="1" applyAlignment="1" applyProtection="1">
      <alignment horizontal="center" vertical="center" wrapText="1"/>
      <protection/>
    </xf>
    <xf numFmtId="0" fontId="15" fillId="6" borderId="10" xfId="0" applyFont="1" applyFill="1" applyBorder="1" applyAlignment="1" applyProtection="1">
      <alignment horizontal="center" vertical="center" wrapText="1"/>
      <protection/>
    </xf>
    <xf numFmtId="0" fontId="15" fillId="6" borderId="0" xfId="0" applyFont="1" applyFill="1" applyBorder="1" applyAlignment="1" applyProtection="1">
      <alignment horizontal="center" vertical="center" wrapText="1"/>
      <protection/>
    </xf>
    <xf numFmtId="0" fontId="15" fillId="6" borderId="11" xfId="0" applyFont="1" applyFill="1" applyBorder="1" applyAlignment="1" applyProtection="1">
      <alignment horizontal="center" vertical="center" wrapText="1"/>
      <protection/>
    </xf>
    <xf numFmtId="0" fontId="15" fillId="0" borderId="8" xfId="0" applyFont="1" applyBorder="1" applyAlignment="1" applyProtection="1">
      <alignment horizontal="center" vertical="center" wrapText="1"/>
      <protection/>
    </xf>
    <xf numFmtId="0" fontId="15" fillId="0" borderId="7" xfId="0" applyFont="1" applyBorder="1" applyAlignment="1" applyProtection="1">
      <alignment horizontal="center" vertical="center" wrapText="1"/>
      <protection/>
    </xf>
    <xf numFmtId="0" fontId="15" fillId="0" borderId="9" xfId="0" applyFont="1" applyBorder="1" applyAlignment="1" applyProtection="1">
      <alignment horizontal="center" vertical="center" wrapText="1"/>
      <protection/>
    </xf>
    <xf numFmtId="0" fontId="15" fillId="0" borderId="15" xfId="0" applyFont="1" applyBorder="1" applyAlignment="1" applyProtection="1">
      <alignment horizontal="center" vertical="center" wrapText="1"/>
      <protection/>
    </xf>
    <xf numFmtId="0" fontId="17" fillId="0" borderId="2" xfId="0" applyFont="1" applyFill="1" applyBorder="1" applyAlignment="1" applyProtection="1">
      <alignment horizontal="center" vertical="center" wrapText="1"/>
      <protection/>
    </xf>
    <xf numFmtId="0" fontId="17" fillId="0" borderId="5" xfId="0" applyFont="1" applyFill="1" applyBorder="1" applyAlignment="1" applyProtection="1">
      <alignment horizontal="center" vertical="center" wrapText="1"/>
      <protection/>
    </xf>
    <xf numFmtId="0" fontId="15" fillId="7" borderId="11" xfId="0" applyFont="1" applyFill="1" applyBorder="1" applyAlignment="1" applyProtection="1">
      <alignment horizontal="center" vertical="top" wrapText="1"/>
      <protection/>
    </xf>
    <xf numFmtId="1" fontId="15" fillId="6" borderId="6" xfId="23" applyNumberFormat="1" applyFont="1" applyFill="1" applyBorder="1" applyAlignment="1" applyProtection="1">
      <alignment horizontal="center" vertical="center" wrapText="1"/>
      <protection/>
    </xf>
    <xf numFmtId="0" fontId="26" fillId="0" borderId="8" xfId="0" applyFont="1" applyBorder="1" applyAlignment="1" applyProtection="1">
      <alignment horizontal="center" vertical="center" wrapText="1"/>
      <protection/>
    </xf>
    <xf numFmtId="0" fontId="26" fillId="0" borderId="7" xfId="0" applyFont="1" applyBorder="1" applyAlignment="1" applyProtection="1">
      <alignment horizontal="center" vertical="center" wrapText="1"/>
      <protection/>
    </xf>
    <xf numFmtId="0" fontId="26" fillId="0" borderId="9" xfId="0" applyFont="1" applyBorder="1" applyAlignment="1" applyProtection="1">
      <alignment horizontal="center" vertical="center" wrapText="1"/>
      <protection/>
    </xf>
    <xf numFmtId="0" fontId="26" fillId="0" borderId="15" xfId="0" applyFont="1" applyBorder="1" applyAlignment="1" applyProtection="1">
      <alignment horizontal="center" vertical="center" wrapText="1"/>
      <protection/>
    </xf>
    <xf numFmtId="1" fontId="15" fillId="6" borderId="25" xfId="23" applyNumberFormat="1" applyFont="1" applyFill="1" applyBorder="1" applyAlignment="1" applyProtection="1">
      <alignment horizontal="center" vertical="center" wrapText="1"/>
      <protection/>
    </xf>
    <xf numFmtId="0" fontId="15" fillId="6" borderId="25" xfId="0" applyFont="1" applyFill="1" applyBorder="1" applyAlignment="1" applyProtection="1">
      <alignment horizontal="center" vertical="center" wrapText="1"/>
      <protection/>
    </xf>
    <xf numFmtId="0" fontId="17" fillId="2" borderId="2" xfId="0" applyFont="1" applyFill="1" applyBorder="1" applyAlignment="1" applyProtection="1">
      <alignment horizontal="center" vertical="center" wrapText="1"/>
      <protection/>
    </xf>
    <xf numFmtId="0" fontId="15" fillId="6" borderId="3" xfId="0" applyFont="1" applyFill="1" applyBorder="1" applyAlignment="1" applyProtection="1">
      <alignment horizontal="center" vertical="center" wrapText="1"/>
      <protection/>
    </xf>
    <xf numFmtId="0" fontId="15" fillId="6" borderId="5" xfId="0" applyFont="1" applyFill="1" applyBorder="1" applyAlignment="1" applyProtection="1">
      <alignment horizontal="center" vertical="center" wrapText="1"/>
      <protection/>
    </xf>
    <xf numFmtId="1" fontId="15" fillId="6" borderId="2" xfId="23" applyNumberFormat="1" applyFont="1" applyFill="1" applyBorder="1" applyAlignment="1" applyProtection="1">
      <alignment horizontal="center" vertical="center" wrapText="1"/>
      <protection/>
    </xf>
    <xf numFmtId="1" fontId="15" fillId="6" borderId="3" xfId="23" applyNumberFormat="1" applyFont="1" applyFill="1" applyBorder="1" applyAlignment="1" applyProtection="1">
      <alignment horizontal="center" vertical="center" wrapText="1"/>
      <protection/>
    </xf>
    <xf numFmtId="1" fontId="15" fillId="6" borderId="5" xfId="23" applyNumberFormat="1" applyFont="1" applyFill="1" applyBorder="1" applyAlignment="1" applyProtection="1">
      <alignment horizontal="center" vertical="center" wrapText="1"/>
      <protection/>
    </xf>
    <xf numFmtId="191" fontId="15" fillId="6" borderId="6" xfId="23" applyNumberFormat="1" applyFont="1" applyFill="1" applyBorder="1" applyAlignment="1" applyProtection="1">
      <alignment horizontal="center" vertical="center" wrapText="1"/>
      <protection/>
    </xf>
    <xf numFmtId="10" fontId="15" fillId="6" borderId="6" xfId="23" applyNumberFormat="1" applyFont="1" applyFill="1" applyBorder="1" applyAlignment="1" applyProtection="1">
      <alignment horizontal="center" vertical="center" wrapText="1"/>
      <protection/>
    </xf>
    <xf numFmtId="0" fontId="15" fillId="6" borderId="6" xfId="0" applyFont="1" applyFill="1" applyBorder="1" applyAlignment="1" applyProtection="1">
      <alignment horizontal="center" vertical="center" wrapText="1"/>
      <protection/>
    </xf>
    <xf numFmtId="10" fontId="15" fillId="6" borderId="8" xfId="23" applyNumberFormat="1" applyFont="1" applyFill="1" applyBorder="1" applyAlignment="1" applyProtection="1">
      <alignment horizontal="center" vertical="center" wrapText="1"/>
      <protection/>
    </xf>
    <xf numFmtId="10" fontId="15" fillId="6" borderId="7" xfId="23" applyNumberFormat="1" applyFont="1" applyFill="1" applyBorder="1" applyAlignment="1" applyProtection="1">
      <alignment horizontal="center" vertical="center" wrapText="1"/>
      <protection/>
    </xf>
    <xf numFmtId="10" fontId="15" fillId="6" borderId="10" xfId="23" applyNumberFormat="1" applyFont="1" applyFill="1" applyBorder="1" applyAlignment="1" applyProtection="1">
      <alignment horizontal="center" vertical="center" wrapText="1"/>
      <protection/>
    </xf>
    <xf numFmtId="10" fontId="15" fillId="6" borderId="11" xfId="23" applyNumberFormat="1" applyFont="1" applyFill="1" applyBorder="1" applyAlignment="1" applyProtection="1">
      <alignment horizontal="center" vertical="center" wrapText="1"/>
      <protection/>
    </xf>
    <xf numFmtId="10" fontId="15" fillId="6" borderId="9" xfId="23" applyNumberFormat="1" applyFont="1" applyFill="1" applyBorder="1" applyAlignment="1" applyProtection="1">
      <alignment horizontal="center" vertical="center" wrapText="1"/>
      <protection/>
    </xf>
    <xf numFmtId="10" fontId="15" fillId="6" borderId="15" xfId="23" applyNumberFormat="1" applyFont="1" applyFill="1" applyBorder="1" applyAlignment="1" applyProtection="1">
      <alignment horizontal="center" vertical="center" wrapText="1"/>
      <protection/>
    </xf>
    <xf numFmtId="0" fontId="15" fillId="6" borderId="8" xfId="0" applyFont="1" applyFill="1" applyBorder="1" applyAlignment="1" applyProtection="1">
      <alignment horizontal="center" vertical="center" wrapText="1"/>
      <protection/>
    </xf>
    <xf numFmtId="0" fontId="15" fillId="6" borderId="7" xfId="0" applyFont="1" applyFill="1" applyBorder="1" applyAlignment="1" applyProtection="1">
      <alignment horizontal="center" vertical="center" wrapText="1"/>
      <protection/>
    </xf>
    <xf numFmtId="0" fontId="15" fillId="6" borderId="9" xfId="0" applyFont="1" applyFill="1" applyBorder="1" applyAlignment="1" applyProtection="1">
      <alignment horizontal="center" vertical="center" wrapText="1"/>
      <protection/>
    </xf>
    <xf numFmtId="0" fontId="15" fillId="6" borderId="15" xfId="0" applyFont="1" applyFill="1" applyBorder="1" applyAlignment="1" applyProtection="1">
      <alignment horizontal="center" vertical="center" wrapText="1"/>
      <protection/>
    </xf>
    <xf numFmtId="0" fontId="17" fillId="5" borderId="8" xfId="0" applyFont="1" applyFill="1" applyBorder="1" applyAlignment="1" applyProtection="1">
      <alignment horizontal="center" vertical="center" wrapText="1"/>
      <protection/>
    </xf>
    <xf numFmtId="0" fontId="17" fillId="5" borderId="7" xfId="0" applyFont="1" applyFill="1" applyBorder="1" applyAlignment="1" applyProtection="1">
      <alignment horizontal="center" vertical="center" wrapText="1"/>
      <protection/>
    </xf>
    <xf numFmtId="0" fontId="17" fillId="5" borderId="10" xfId="0" applyFont="1" applyFill="1" applyBorder="1" applyAlignment="1" applyProtection="1">
      <alignment horizontal="center" vertical="center" wrapText="1"/>
      <protection/>
    </xf>
    <xf numFmtId="0" fontId="17" fillId="5" borderId="11" xfId="0" applyFont="1" applyFill="1" applyBorder="1" applyAlignment="1" applyProtection="1">
      <alignment horizontal="center" vertical="center" wrapText="1"/>
      <protection/>
    </xf>
    <xf numFmtId="0" fontId="15" fillId="6" borderId="25" xfId="0" applyFont="1" applyFill="1" applyBorder="1" applyAlignment="1" applyProtection="1">
      <alignment horizontal="center" vertical="center"/>
      <protection/>
    </xf>
    <xf numFmtId="0" fontId="15" fillId="6" borderId="23" xfId="0" applyFont="1" applyFill="1" applyBorder="1" applyAlignment="1" applyProtection="1">
      <alignment horizontal="center" vertical="center"/>
      <protection/>
    </xf>
    <xf numFmtId="0" fontId="15" fillId="6" borderId="14" xfId="0" applyFont="1" applyFill="1" applyBorder="1" applyAlignment="1" applyProtection="1">
      <alignment horizontal="center" vertical="center"/>
      <protection/>
    </xf>
    <xf numFmtId="1" fontId="15" fillId="9" borderId="2" xfId="0" applyNumberFormat="1" applyFont="1" applyFill="1" applyBorder="1" applyAlignment="1" applyProtection="1">
      <alignment horizontal="center" vertical="center" wrapText="1"/>
      <protection/>
    </xf>
    <xf numFmtId="1" fontId="15" fillId="9" borderId="5" xfId="0" applyNumberFormat="1" applyFont="1" applyFill="1" applyBorder="1" applyAlignment="1" applyProtection="1">
      <alignment horizontal="center" vertical="center" wrapText="1"/>
      <protection/>
    </xf>
    <xf numFmtId="0" fontId="15" fillId="6" borderId="11" xfId="0" applyFont="1" applyFill="1" applyBorder="1" applyAlignment="1" applyProtection="1">
      <alignment horizontal="center" vertical="top" wrapText="1"/>
      <protection/>
    </xf>
    <xf numFmtId="0" fontId="15" fillId="6" borderId="15" xfId="0" applyFont="1" applyFill="1" applyBorder="1" applyAlignment="1" applyProtection="1">
      <alignment horizontal="center" vertical="top" wrapText="1"/>
      <protection/>
    </xf>
    <xf numFmtId="180" fontId="15" fillId="6" borderId="6" xfId="15" applyNumberFormat="1" applyFont="1" applyFill="1" applyBorder="1" applyAlignment="1" applyProtection="1">
      <alignment horizontal="center" vertical="center" wrapText="1"/>
      <protection/>
    </xf>
    <xf numFmtId="0" fontId="17" fillId="2" borderId="25" xfId="0" applyFont="1" applyFill="1" applyBorder="1" applyAlignment="1" applyProtection="1">
      <alignment horizontal="center" vertical="center" wrapText="1"/>
      <protection/>
    </xf>
    <xf numFmtId="0" fontId="17" fillId="2" borderId="14" xfId="0" applyFont="1" applyFill="1" applyBorder="1" applyAlignment="1" applyProtection="1">
      <alignment horizontal="center"/>
      <protection/>
    </xf>
    <xf numFmtId="0" fontId="17" fillId="2" borderId="23" xfId="0" applyFont="1" applyFill="1" applyBorder="1" applyAlignment="1" applyProtection="1">
      <alignment horizontal="center" vertical="center" wrapText="1"/>
      <protection/>
    </xf>
    <xf numFmtId="0" fontId="17" fillId="2" borderId="14" xfId="0" applyFont="1" applyFill="1" applyBorder="1" applyAlignment="1" applyProtection="1">
      <alignment horizontal="center" vertical="center" wrapText="1"/>
      <protection/>
    </xf>
    <xf numFmtId="0" fontId="9" fillId="0" borderId="26" xfId="0" applyFont="1" applyBorder="1" applyAlignment="1">
      <alignment horizontal="center"/>
    </xf>
    <xf numFmtId="0" fontId="0" fillId="0" borderId="27" xfId="0" applyBorder="1" applyAlignment="1">
      <alignment/>
    </xf>
    <xf numFmtId="0" fontId="0" fillId="0" borderId="28" xfId="0" applyBorder="1" applyAlignment="1">
      <alignment/>
    </xf>
    <xf numFmtId="0" fontId="0" fillId="0" borderId="27" xfId="0" applyBorder="1" applyAlignment="1">
      <alignment horizontal="center"/>
    </xf>
    <xf numFmtId="0" fontId="0" fillId="0" borderId="28" xfId="0" applyBorder="1" applyAlignment="1">
      <alignment horizontal="center"/>
    </xf>
    <xf numFmtId="0" fontId="9" fillId="0" borderId="0" xfId="0" applyFont="1" applyAlignment="1">
      <alignment horizontal="center"/>
    </xf>
    <xf numFmtId="0" fontId="15" fillId="0" borderId="10" xfId="0" applyFont="1" applyBorder="1" applyAlignment="1" applyProtection="1">
      <alignment horizontal="center" wrapText="1"/>
      <protection/>
    </xf>
    <xf numFmtId="0" fontId="15" fillId="0" borderId="0" xfId="0" applyFont="1" applyBorder="1" applyAlignment="1" applyProtection="1">
      <alignment horizontal="center" wrapText="1"/>
      <protection/>
    </xf>
    <xf numFmtId="0" fontId="36" fillId="0" borderId="2" xfId="0" applyFont="1" applyFill="1" applyBorder="1" applyAlignment="1" applyProtection="1">
      <alignment horizontal="center" vertical="center" wrapText="1"/>
      <protection/>
    </xf>
    <xf numFmtId="0" fontId="36" fillId="0" borderId="5" xfId="0" applyFont="1" applyFill="1" applyBorder="1" applyAlignment="1" applyProtection="1">
      <alignment horizontal="center" vertical="center" wrapText="1"/>
      <protection/>
    </xf>
    <xf numFmtId="0" fontId="36" fillId="2" borderId="25" xfId="0" applyFont="1" applyFill="1" applyBorder="1" applyAlignment="1" applyProtection="1">
      <alignment horizontal="center" vertical="center" wrapText="1"/>
      <protection/>
    </xf>
    <xf numFmtId="0" fontId="36" fillId="2" borderId="14" xfId="0" applyFont="1" applyFill="1" applyBorder="1" applyAlignment="1" applyProtection="1">
      <alignment horizontal="center" vertical="center" wrapText="1"/>
      <protection/>
    </xf>
    <xf numFmtId="0" fontId="40" fillId="0" borderId="8" xfId="0" applyFont="1" applyBorder="1" applyAlignment="1" applyProtection="1">
      <alignment horizontal="center" vertical="center" wrapText="1"/>
      <protection/>
    </xf>
    <xf numFmtId="0" fontId="40" fillId="0" borderId="7" xfId="0" applyFont="1" applyBorder="1" applyAlignment="1" applyProtection="1">
      <alignment horizontal="center" vertical="center" wrapText="1"/>
      <protection/>
    </xf>
    <xf numFmtId="0" fontId="40" fillId="0" borderId="9" xfId="0" applyFont="1" applyBorder="1" applyAlignment="1" applyProtection="1">
      <alignment horizontal="center" vertical="center" wrapText="1"/>
      <protection/>
    </xf>
    <xf numFmtId="0" fontId="40" fillId="0" borderId="15" xfId="0" applyFont="1" applyBorder="1" applyAlignment="1" applyProtection="1">
      <alignment horizontal="center" vertical="center" wrapText="1"/>
      <protection/>
    </xf>
    <xf numFmtId="0" fontId="36" fillId="2" borderId="2" xfId="0" applyFont="1" applyFill="1" applyBorder="1" applyAlignment="1" applyProtection="1">
      <alignment horizontal="center" vertical="center" wrapText="1"/>
      <protection/>
    </xf>
    <xf numFmtId="0" fontId="36" fillId="2" borderId="5" xfId="0" applyFont="1" applyFill="1" applyBorder="1" applyAlignment="1" applyProtection="1">
      <alignment horizontal="center" vertical="center" wrapText="1"/>
      <protection/>
    </xf>
    <xf numFmtId="0" fontId="36" fillId="2" borderId="6" xfId="0" applyFont="1" applyFill="1" applyBorder="1" applyAlignment="1" applyProtection="1">
      <alignment horizontal="center" vertical="center" wrapText="1"/>
      <protection/>
    </xf>
    <xf numFmtId="0" fontId="36" fillId="2" borderId="8" xfId="0" applyFont="1" applyFill="1" applyBorder="1" applyAlignment="1" applyProtection="1">
      <alignment horizontal="center" vertical="center" wrapText="1"/>
      <protection/>
    </xf>
    <xf numFmtId="0" fontId="36" fillId="2" borderId="9" xfId="0" applyFont="1" applyFill="1" applyBorder="1" applyAlignment="1" applyProtection="1">
      <alignment horizontal="center" vertical="center" wrapText="1"/>
      <protection/>
    </xf>
    <xf numFmtId="0" fontId="2" fillId="2" borderId="6" xfId="0" applyFont="1" applyFill="1" applyBorder="1" applyAlignment="1" applyProtection="1">
      <alignment horizontal="center" vertical="center" wrapText="1"/>
      <protection/>
    </xf>
    <xf numFmtId="0" fontId="1" fillId="2" borderId="6" xfId="0" applyFont="1" applyFill="1" applyBorder="1" applyAlignment="1" applyProtection="1">
      <alignment horizontal="center" vertical="center" wrapText="1"/>
      <protection/>
    </xf>
    <xf numFmtId="0" fontId="4" fillId="2" borderId="6" xfId="0" applyFont="1" applyFill="1" applyBorder="1" applyAlignment="1" applyProtection="1">
      <alignment horizontal="center" vertical="center" wrapText="1"/>
      <protection/>
    </xf>
    <xf numFmtId="0" fontId="2" fillId="2" borderId="6" xfId="0" applyFont="1" applyFill="1" applyBorder="1" applyAlignment="1" applyProtection="1">
      <alignment horizontal="center" vertical="center"/>
      <protection/>
    </xf>
    <xf numFmtId="0" fontId="24" fillId="10" borderId="2" xfId="0" applyFont="1" applyFill="1" applyBorder="1" applyAlignment="1">
      <alignment horizontal="center" vertical="center" wrapText="1"/>
    </xf>
    <xf numFmtId="0" fontId="24" fillId="10" borderId="3"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cellXfs>
  <cellStyles count="10">
    <cellStyle name="Normal" xfId="0"/>
    <cellStyle name="Comma" xfId="15"/>
    <cellStyle name="Comma [0]" xfId="16"/>
    <cellStyle name="Comma_LAData2001-Asia1"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Национальная распространенность ВИЧ среди взрослого населения</a:t>
            </a:r>
          </a:p>
        </c:rich>
      </c:tx>
      <c:layout>
        <c:manualLayout>
          <c:xMode val="factor"/>
          <c:yMode val="factor"/>
          <c:x val="-0.00725"/>
          <c:y val="0.00325"/>
        </c:manualLayout>
      </c:layout>
      <c:spPr>
        <a:noFill/>
        <a:ln>
          <a:noFill/>
        </a:ln>
      </c:spPr>
    </c:title>
    <c:plotArea>
      <c:layout>
        <c:manualLayout>
          <c:xMode val="edge"/>
          <c:yMode val="edge"/>
          <c:x val="0.0115"/>
          <c:y val="0.07375"/>
          <c:w val="0.96025"/>
          <c:h val="0.92275"/>
        </c:manualLayout>
      </c:layout>
      <c:lineChart>
        <c:grouping val="standard"/>
        <c:varyColors val="0"/>
        <c:ser>
          <c:idx val="1"/>
          <c:order val="0"/>
          <c:tx>
            <c:v>Data</c:v>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'EPP model'!$A$3:$A$503</c:f>
              <c:numCache>
                <c:ptCount val="501"/>
                <c:pt idx="0">
                  <c:v>1980</c:v>
                </c:pt>
                <c:pt idx="1">
                  <c:v>1980.1</c:v>
                </c:pt>
                <c:pt idx="2">
                  <c:v>1980.1999999999998</c:v>
                </c:pt>
                <c:pt idx="3">
                  <c:v>1980.2999999999997</c:v>
                </c:pt>
                <c:pt idx="4">
                  <c:v>1980.3999999999996</c:v>
                </c:pt>
                <c:pt idx="5">
                  <c:v>1980.4999999999995</c:v>
                </c:pt>
                <c:pt idx="6">
                  <c:v>1980.5999999999995</c:v>
                </c:pt>
                <c:pt idx="7">
                  <c:v>1980.6999999999994</c:v>
                </c:pt>
                <c:pt idx="8">
                  <c:v>1980.7999999999993</c:v>
                </c:pt>
                <c:pt idx="9">
                  <c:v>1980.8999999999992</c:v>
                </c:pt>
                <c:pt idx="10">
                  <c:v>1980.999999999999</c:v>
                </c:pt>
                <c:pt idx="11">
                  <c:v>1981.099999999999</c:v>
                </c:pt>
                <c:pt idx="12">
                  <c:v>1981.199999999999</c:v>
                </c:pt>
                <c:pt idx="13">
                  <c:v>1981.2999999999988</c:v>
                </c:pt>
                <c:pt idx="14">
                  <c:v>1981.3999999999987</c:v>
                </c:pt>
                <c:pt idx="15">
                  <c:v>1981.4999999999986</c:v>
                </c:pt>
                <c:pt idx="16">
                  <c:v>1981.5999999999985</c:v>
                </c:pt>
                <c:pt idx="17">
                  <c:v>1981.6999999999985</c:v>
                </c:pt>
                <c:pt idx="18">
                  <c:v>1981.7999999999984</c:v>
                </c:pt>
                <c:pt idx="19">
                  <c:v>1981.8999999999983</c:v>
                </c:pt>
                <c:pt idx="20">
                  <c:v>1981.9999999999982</c:v>
                </c:pt>
                <c:pt idx="21">
                  <c:v>1982.099999999998</c:v>
                </c:pt>
                <c:pt idx="22">
                  <c:v>1982.199999999998</c:v>
                </c:pt>
                <c:pt idx="23">
                  <c:v>1982.299999999998</c:v>
                </c:pt>
                <c:pt idx="24">
                  <c:v>1982.3999999999978</c:v>
                </c:pt>
                <c:pt idx="25">
                  <c:v>1982.4999999999977</c:v>
                </c:pt>
                <c:pt idx="26">
                  <c:v>1982.5999999999976</c:v>
                </c:pt>
                <c:pt idx="27">
                  <c:v>1982.6999999999975</c:v>
                </c:pt>
                <c:pt idx="28">
                  <c:v>1982.7999999999975</c:v>
                </c:pt>
                <c:pt idx="29">
                  <c:v>1982.8999999999974</c:v>
                </c:pt>
                <c:pt idx="30">
                  <c:v>1982.9999999999973</c:v>
                </c:pt>
                <c:pt idx="31">
                  <c:v>1983.0999999999972</c:v>
                </c:pt>
                <c:pt idx="32">
                  <c:v>1983.199999999997</c:v>
                </c:pt>
                <c:pt idx="33">
                  <c:v>1983.299999999997</c:v>
                </c:pt>
                <c:pt idx="34">
                  <c:v>1983.399999999997</c:v>
                </c:pt>
                <c:pt idx="35">
                  <c:v>1983.4999999999968</c:v>
                </c:pt>
                <c:pt idx="36">
                  <c:v>1983.5999999999967</c:v>
                </c:pt>
                <c:pt idx="37">
                  <c:v>1983.6999999999966</c:v>
                </c:pt>
                <c:pt idx="38">
                  <c:v>1983.7999999999965</c:v>
                </c:pt>
                <c:pt idx="39">
                  <c:v>1983.8999999999965</c:v>
                </c:pt>
                <c:pt idx="40">
                  <c:v>1983.9999999999964</c:v>
                </c:pt>
                <c:pt idx="41">
                  <c:v>1984.0999999999963</c:v>
                </c:pt>
                <c:pt idx="42">
                  <c:v>1984.1999999999962</c:v>
                </c:pt>
                <c:pt idx="43">
                  <c:v>1984.299999999996</c:v>
                </c:pt>
                <c:pt idx="44">
                  <c:v>1984.399999999996</c:v>
                </c:pt>
                <c:pt idx="45">
                  <c:v>1984.499999999996</c:v>
                </c:pt>
                <c:pt idx="46">
                  <c:v>1984.5999999999958</c:v>
                </c:pt>
                <c:pt idx="47">
                  <c:v>1984.6999999999957</c:v>
                </c:pt>
                <c:pt idx="48">
                  <c:v>1984.7999999999956</c:v>
                </c:pt>
                <c:pt idx="49">
                  <c:v>1984.8999999999955</c:v>
                </c:pt>
                <c:pt idx="50">
                  <c:v>1984.9999999999955</c:v>
                </c:pt>
                <c:pt idx="51">
                  <c:v>1985.0999999999954</c:v>
                </c:pt>
                <c:pt idx="52">
                  <c:v>1985.1999999999953</c:v>
                </c:pt>
                <c:pt idx="53">
                  <c:v>1985.2999999999952</c:v>
                </c:pt>
                <c:pt idx="54">
                  <c:v>1985.399999999995</c:v>
                </c:pt>
                <c:pt idx="55">
                  <c:v>1985.499999999995</c:v>
                </c:pt>
                <c:pt idx="56">
                  <c:v>1985.599999999995</c:v>
                </c:pt>
                <c:pt idx="57">
                  <c:v>1985.6999999999948</c:v>
                </c:pt>
                <c:pt idx="58">
                  <c:v>1985.7999999999947</c:v>
                </c:pt>
                <c:pt idx="59">
                  <c:v>1985.8999999999946</c:v>
                </c:pt>
                <c:pt idx="60">
                  <c:v>1985.9999999999945</c:v>
                </c:pt>
                <c:pt idx="61">
                  <c:v>1986.0999999999945</c:v>
                </c:pt>
                <c:pt idx="62">
                  <c:v>1986.1999999999944</c:v>
                </c:pt>
                <c:pt idx="63">
                  <c:v>1986.2999999999943</c:v>
                </c:pt>
                <c:pt idx="64">
                  <c:v>1986.3999999999942</c:v>
                </c:pt>
                <c:pt idx="65">
                  <c:v>1986.499999999994</c:v>
                </c:pt>
                <c:pt idx="66">
                  <c:v>1986.599999999994</c:v>
                </c:pt>
                <c:pt idx="67">
                  <c:v>1986.699999999994</c:v>
                </c:pt>
                <c:pt idx="68">
                  <c:v>1986.7999999999938</c:v>
                </c:pt>
                <c:pt idx="69">
                  <c:v>1986.8999999999937</c:v>
                </c:pt>
                <c:pt idx="70">
                  <c:v>1986.9999999999936</c:v>
                </c:pt>
                <c:pt idx="71">
                  <c:v>1987.0999999999935</c:v>
                </c:pt>
                <c:pt idx="72">
                  <c:v>1987.1999999999935</c:v>
                </c:pt>
                <c:pt idx="73">
                  <c:v>1987.2999999999934</c:v>
                </c:pt>
                <c:pt idx="74">
                  <c:v>1987.3999999999933</c:v>
                </c:pt>
                <c:pt idx="75">
                  <c:v>1987.4999999999932</c:v>
                </c:pt>
                <c:pt idx="76">
                  <c:v>1987.599999999993</c:v>
                </c:pt>
                <c:pt idx="77">
                  <c:v>1987.699999999993</c:v>
                </c:pt>
                <c:pt idx="78">
                  <c:v>1987.799999999993</c:v>
                </c:pt>
                <c:pt idx="79">
                  <c:v>1987.8999999999928</c:v>
                </c:pt>
                <c:pt idx="80">
                  <c:v>1987.9999999999927</c:v>
                </c:pt>
                <c:pt idx="81">
                  <c:v>1988.0999999999926</c:v>
                </c:pt>
                <c:pt idx="82">
                  <c:v>1988.1999999999925</c:v>
                </c:pt>
                <c:pt idx="83">
                  <c:v>1988.2999999999925</c:v>
                </c:pt>
                <c:pt idx="84">
                  <c:v>1988.3999999999924</c:v>
                </c:pt>
                <c:pt idx="85">
                  <c:v>1988.4999999999923</c:v>
                </c:pt>
                <c:pt idx="86">
                  <c:v>1988.5999999999922</c:v>
                </c:pt>
                <c:pt idx="87">
                  <c:v>1988.699999999992</c:v>
                </c:pt>
                <c:pt idx="88">
                  <c:v>1988.799999999992</c:v>
                </c:pt>
                <c:pt idx="89">
                  <c:v>1988.899999999992</c:v>
                </c:pt>
                <c:pt idx="90">
                  <c:v>1988.9999999999918</c:v>
                </c:pt>
                <c:pt idx="91">
                  <c:v>1989.0999999999917</c:v>
                </c:pt>
                <c:pt idx="92">
                  <c:v>1989.1999999999916</c:v>
                </c:pt>
                <c:pt idx="93">
                  <c:v>1989.2999999999915</c:v>
                </c:pt>
                <c:pt idx="94">
                  <c:v>1989.3999999999915</c:v>
                </c:pt>
                <c:pt idx="95">
                  <c:v>1989.4999999999914</c:v>
                </c:pt>
                <c:pt idx="96">
                  <c:v>1989.5999999999913</c:v>
                </c:pt>
                <c:pt idx="97">
                  <c:v>1989.6999999999912</c:v>
                </c:pt>
                <c:pt idx="98">
                  <c:v>1989.799999999991</c:v>
                </c:pt>
                <c:pt idx="99">
                  <c:v>1989.899999999991</c:v>
                </c:pt>
                <c:pt idx="100">
                  <c:v>1989.999999999991</c:v>
                </c:pt>
                <c:pt idx="101">
                  <c:v>1990.0999999999908</c:v>
                </c:pt>
                <c:pt idx="102">
                  <c:v>1990.1999999999907</c:v>
                </c:pt>
                <c:pt idx="103">
                  <c:v>1990.2999999999906</c:v>
                </c:pt>
                <c:pt idx="104">
                  <c:v>1990.3999999999905</c:v>
                </c:pt>
                <c:pt idx="105">
                  <c:v>1990.4999999999905</c:v>
                </c:pt>
                <c:pt idx="106">
                  <c:v>1990.5999999999904</c:v>
                </c:pt>
                <c:pt idx="107">
                  <c:v>1990.6999999999903</c:v>
                </c:pt>
                <c:pt idx="108">
                  <c:v>1990.7999999999902</c:v>
                </c:pt>
                <c:pt idx="109">
                  <c:v>1990.89999999999</c:v>
                </c:pt>
                <c:pt idx="110">
                  <c:v>1990.99999999999</c:v>
                </c:pt>
                <c:pt idx="111">
                  <c:v>1991.09999999999</c:v>
                </c:pt>
                <c:pt idx="112">
                  <c:v>1991.1999999999898</c:v>
                </c:pt>
                <c:pt idx="113">
                  <c:v>1991.2999999999897</c:v>
                </c:pt>
                <c:pt idx="114">
                  <c:v>1991.3999999999896</c:v>
                </c:pt>
                <c:pt idx="115">
                  <c:v>1991.4999999999895</c:v>
                </c:pt>
                <c:pt idx="116">
                  <c:v>1991.5999999999894</c:v>
                </c:pt>
                <c:pt idx="117">
                  <c:v>1991.6999999999894</c:v>
                </c:pt>
                <c:pt idx="118">
                  <c:v>1991.7999999999893</c:v>
                </c:pt>
                <c:pt idx="119">
                  <c:v>1991.8999999999892</c:v>
                </c:pt>
                <c:pt idx="120">
                  <c:v>1991.999999999989</c:v>
                </c:pt>
                <c:pt idx="121">
                  <c:v>1992.099999999989</c:v>
                </c:pt>
                <c:pt idx="122">
                  <c:v>1992.199999999989</c:v>
                </c:pt>
                <c:pt idx="123">
                  <c:v>1992.2999999999888</c:v>
                </c:pt>
                <c:pt idx="124">
                  <c:v>1992.3999999999887</c:v>
                </c:pt>
                <c:pt idx="125">
                  <c:v>1992.4999999999886</c:v>
                </c:pt>
                <c:pt idx="126">
                  <c:v>1992.5999999999885</c:v>
                </c:pt>
                <c:pt idx="127">
                  <c:v>1992.6999999999884</c:v>
                </c:pt>
                <c:pt idx="128">
                  <c:v>1992.7999999999884</c:v>
                </c:pt>
                <c:pt idx="129">
                  <c:v>1992.8999999999883</c:v>
                </c:pt>
                <c:pt idx="130">
                  <c:v>1992.9999999999882</c:v>
                </c:pt>
                <c:pt idx="131">
                  <c:v>1993.099999999988</c:v>
                </c:pt>
                <c:pt idx="132">
                  <c:v>1993.199999999988</c:v>
                </c:pt>
                <c:pt idx="133">
                  <c:v>1993.299999999988</c:v>
                </c:pt>
                <c:pt idx="134">
                  <c:v>1993.3999999999878</c:v>
                </c:pt>
                <c:pt idx="135">
                  <c:v>1993.4999999999877</c:v>
                </c:pt>
                <c:pt idx="136">
                  <c:v>1993.5999999999876</c:v>
                </c:pt>
                <c:pt idx="137">
                  <c:v>1993.6999999999875</c:v>
                </c:pt>
                <c:pt idx="138">
                  <c:v>1993.7999999999874</c:v>
                </c:pt>
                <c:pt idx="139">
                  <c:v>1993.8999999999874</c:v>
                </c:pt>
                <c:pt idx="140">
                  <c:v>1993.9999999999873</c:v>
                </c:pt>
                <c:pt idx="141">
                  <c:v>1994.0999999999872</c:v>
                </c:pt>
                <c:pt idx="142">
                  <c:v>1994.199999999987</c:v>
                </c:pt>
                <c:pt idx="143">
                  <c:v>1994.299999999987</c:v>
                </c:pt>
                <c:pt idx="144">
                  <c:v>1994.399999999987</c:v>
                </c:pt>
                <c:pt idx="145">
                  <c:v>1994.4999999999868</c:v>
                </c:pt>
                <c:pt idx="146">
                  <c:v>1994.5999999999867</c:v>
                </c:pt>
                <c:pt idx="147">
                  <c:v>1994.6999999999866</c:v>
                </c:pt>
                <c:pt idx="148">
                  <c:v>1994.7999999999865</c:v>
                </c:pt>
                <c:pt idx="149">
                  <c:v>1994.8999999999864</c:v>
                </c:pt>
                <c:pt idx="150">
                  <c:v>1994.9999999999864</c:v>
                </c:pt>
                <c:pt idx="151">
                  <c:v>1995.0999999999863</c:v>
                </c:pt>
                <c:pt idx="152">
                  <c:v>1995.1999999999862</c:v>
                </c:pt>
                <c:pt idx="153">
                  <c:v>1995.299999999986</c:v>
                </c:pt>
                <c:pt idx="154">
                  <c:v>1995.399999999986</c:v>
                </c:pt>
                <c:pt idx="155">
                  <c:v>1995.499999999986</c:v>
                </c:pt>
                <c:pt idx="156">
                  <c:v>1995.5999999999858</c:v>
                </c:pt>
                <c:pt idx="157">
                  <c:v>1995.6999999999857</c:v>
                </c:pt>
                <c:pt idx="158">
                  <c:v>1995.7999999999856</c:v>
                </c:pt>
                <c:pt idx="159">
                  <c:v>1995.8999999999855</c:v>
                </c:pt>
                <c:pt idx="160">
                  <c:v>1995.9999999999854</c:v>
                </c:pt>
                <c:pt idx="161">
                  <c:v>1996.0999999999854</c:v>
                </c:pt>
                <c:pt idx="162">
                  <c:v>1996.1999999999853</c:v>
                </c:pt>
                <c:pt idx="163">
                  <c:v>1996.2999999999852</c:v>
                </c:pt>
                <c:pt idx="164">
                  <c:v>1996.399999999985</c:v>
                </c:pt>
                <c:pt idx="165">
                  <c:v>1996.499999999985</c:v>
                </c:pt>
                <c:pt idx="166">
                  <c:v>1996.599999999985</c:v>
                </c:pt>
                <c:pt idx="167">
                  <c:v>1996.6999999999848</c:v>
                </c:pt>
                <c:pt idx="168">
                  <c:v>1996.7999999999847</c:v>
                </c:pt>
                <c:pt idx="169">
                  <c:v>1996.8999999999846</c:v>
                </c:pt>
                <c:pt idx="170">
                  <c:v>1996.9999999999845</c:v>
                </c:pt>
                <c:pt idx="171">
                  <c:v>1997.0999999999844</c:v>
                </c:pt>
                <c:pt idx="172">
                  <c:v>1997.1999999999844</c:v>
                </c:pt>
                <c:pt idx="173">
                  <c:v>1997.2999999999843</c:v>
                </c:pt>
                <c:pt idx="174">
                  <c:v>1997.3999999999842</c:v>
                </c:pt>
                <c:pt idx="175">
                  <c:v>1997.499999999984</c:v>
                </c:pt>
                <c:pt idx="176">
                  <c:v>1997.599999999984</c:v>
                </c:pt>
                <c:pt idx="177">
                  <c:v>1997.699999999984</c:v>
                </c:pt>
                <c:pt idx="178">
                  <c:v>1997.7999999999838</c:v>
                </c:pt>
                <c:pt idx="179">
                  <c:v>1997.8999999999837</c:v>
                </c:pt>
                <c:pt idx="180">
                  <c:v>1997.9999999999836</c:v>
                </c:pt>
                <c:pt idx="181">
                  <c:v>1998.0999999999835</c:v>
                </c:pt>
                <c:pt idx="182">
                  <c:v>1998.1999999999834</c:v>
                </c:pt>
                <c:pt idx="183">
                  <c:v>1998.2999999999834</c:v>
                </c:pt>
                <c:pt idx="184">
                  <c:v>1998.3999999999833</c:v>
                </c:pt>
                <c:pt idx="185">
                  <c:v>1998.4999999999832</c:v>
                </c:pt>
                <c:pt idx="186">
                  <c:v>1998.599999999983</c:v>
                </c:pt>
                <c:pt idx="187">
                  <c:v>1998.699999999983</c:v>
                </c:pt>
                <c:pt idx="188">
                  <c:v>1998.799999999983</c:v>
                </c:pt>
                <c:pt idx="189">
                  <c:v>1998.8999999999828</c:v>
                </c:pt>
                <c:pt idx="190">
                  <c:v>1998.9999999999827</c:v>
                </c:pt>
                <c:pt idx="191">
                  <c:v>1999.0999999999826</c:v>
                </c:pt>
                <c:pt idx="192">
                  <c:v>1999.1999999999825</c:v>
                </c:pt>
                <c:pt idx="193">
                  <c:v>1999.2999999999824</c:v>
                </c:pt>
                <c:pt idx="194">
                  <c:v>1999.3999999999824</c:v>
                </c:pt>
                <c:pt idx="195">
                  <c:v>1999.4999999999823</c:v>
                </c:pt>
                <c:pt idx="196">
                  <c:v>1999.5999999999822</c:v>
                </c:pt>
                <c:pt idx="197">
                  <c:v>1999.699999999982</c:v>
                </c:pt>
                <c:pt idx="198">
                  <c:v>1999.799999999982</c:v>
                </c:pt>
                <c:pt idx="199">
                  <c:v>1999.899999999982</c:v>
                </c:pt>
                <c:pt idx="200">
                  <c:v>1999.9999999999818</c:v>
                </c:pt>
                <c:pt idx="201">
                  <c:v>2000.0999999999817</c:v>
                </c:pt>
                <c:pt idx="202">
                  <c:v>2000.1999999999816</c:v>
                </c:pt>
                <c:pt idx="203">
                  <c:v>2000.2999999999815</c:v>
                </c:pt>
                <c:pt idx="204">
                  <c:v>2000.3999999999814</c:v>
                </c:pt>
                <c:pt idx="205">
                  <c:v>2000.4999999999814</c:v>
                </c:pt>
                <c:pt idx="206">
                  <c:v>2000.5999999999813</c:v>
                </c:pt>
                <c:pt idx="207">
                  <c:v>2000.6999999999812</c:v>
                </c:pt>
                <c:pt idx="208">
                  <c:v>2000.799999999981</c:v>
                </c:pt>
                <c:pt idx="209">
                  <c:v>2000.899999999981</c:v>
                </c:pt>
                <c:pt idx="210">
                  <c:v>2000.999999999981</c:v>
                </c:pt>
                <c:pt idx="211">
                  <c:v>2001.0999999999808</c:v>
                </c:pt>
                <c:pt idx="212">
                  <c:v>2001.1999999999807</c:v>
                </c:pt>
                <c:pt idx="213">
                  <c:v>2001.2999999999806</c:v>
                </c:pt>
                <c:pt idx="214">
                  <c:v>2001.3999999999805</c:v>
                </c:pt>
                <c:pt idx="215">
                  <c:v>2001.4999999999804</c:v>
                </c:pt>
                <c:pt idx="216">
                  <c:v>2001.5999999999804</c:v>
                </c:pt>
                <c:pt idx="217">
                  <c:v>2001.6999999999803</c:v>
                </c:pt>
                <c:pt idx="218">
                  <c:v>2001.7999999999802</c:v>
                </c:pt>
                <c:pt idx="219">
                  <c:v>2001.89999999998</c:v>
                </c:pt>
                <c:pt idx="220">
                  <c:v>2001.99999999998</c:v>
                </c:pt>
                <c:pt idx="221">
                  <c:v>2002.09999999998</c:v>
                </c:pt>
                <c:pt idx="222">
                  <c:v>2002.1999999999798</c:v>
                </c:pt>
                <c:pt idx="223">
                  <c:v>2002.2999999999797</c:v>
                </c:pt>
                <c:pt idx="224">
                  <c:v>2002.3999999999796</c:v>
                </c:pt>
                <c:pt idx="225">
                  <c:v>2002.4999999999795</c:v>
                </c:pt>
                <c:pt idx="226">
                  <c:v>2002.5999999999794</c:v>
                </c:pt>
                <c:pt idx="227">
                  <c:v>2002.6999999999794</c:v>
                </c:pt>
                <c:pt idx="228">
                  <c:v>2002.7999999999793</c:v>
                </c:pt>
                <c:pt idx="229">
                  <c:v>2002.8999999999792</c:v>
                </c:pt>
                <c:pt idx="230">
                  <c:v>2002.999999999979</c:v>
                </c:pt>
                <c:pt idx="231">
                  <c:v>2003.099999999979</c:v>
                </c:pt>
                <c:pt idx="232">
                  <c:v>2003.199999999979</c:v>
                </c:pt>
                <c:pt idx="233">
                  <c:v>2003.2999999999788</c:v>
                </c:pt>
                <c:pt idx="234">
                  <c:v>2003.3999999999787</c:v>
                </c:pt>
                <c:pt idx="235">
                  <c:v>2003.4999999999786</c:v>
                </c:pt>
                <c:pt idx="236">
                  <c:v>2003.5999999999785</c:v>
                </c:pt>
                <c:pt idx="237">
                  <c:v>2003.6999999999784</c:v>
                </c:pt>
                <c:pt idx="238">
                  <c:v>2003.7999999999784</c:v>
                </c:pt>
                <c:pt idx="239">
                  <c:v>2003.8999999999783</c:v>
                </c:pt>
                <c:pt idx="240">
                  <c:v>2003.9999999999782</c:v>
                </c:pt>
                <c:pt idx="241">
                  <c:v>2004.099999999978</c:v>
                </c:pt>
                <c:pt idx="242">
                  <c:v>2004.199999999978</c:v>
                </c:pt>
                <c:pt idx="243">
                  <c:v>2004.299999999978</c:v>
                </c:pt>
                <c:pt idx="244">
                  <c:v>2004.3999999999778</c:v>
                </c:pt>
                <c:pt idx="245">
                  <c:v>2004.4999999999777</c:v>
                </c:pt>
                <c:pt idx="246">
                  <c:v>2004.5999999999776</c:v>
                </c:pt>
                <c:pt idx="247">
                  <c:v>2004.6999999999775</c:v>
                </c:pt>
                <c:pt idx="248">
                  <c:v>2004.7999999999774</c:v>
                </c:pt>
                <c:pt idx="249">
                  <c:v>2004.8999999999774</c:v>
                </c:pt>
                <c:pt idx="250">
                  <c:v>2004.9999999999773</c:v>
                </c:pt>
                <c:pt idx="251">
                  <c:v>2005.0999999999772</c:v>
                </c:pt>
                <c:pt idx="252">
                  <c:v>2005.199999999977</c:v>
                </c:pt>
                <c:pt idx="253">
                  <c:v>2005.299999999977</c:v>
                </c:pt>
                <c:pt idx="254">
                  <c:v>2005.399999999977</c:v>
                </c:pt>
                <c:pt idx="255">
                  <c:v>2005.4999999999768</c:v>
                </c:pt>
                <c:pt idx="256">
                  <c:v>2005.5999999999767</c:v>
                </c:pt>
                <c:pt idx="257">
                  <c:v>2005.6999999999766</c:v>
                </c:pt>
                <c:pt idx="258">
                  <c:v>2005.7999999999765</c:v>
                </c:pt>
                <c:pt idx="259">
                  <c:v>2005.8999999999764</c:v>
                </c:pt>
                <c:pt idx="260">
                  <c:v>2005.9999999999764</c:v>
                </c:pt>
                <c:pt idx="261">
                  <c:v>2006.0999999999763</c:v>
                </c:pt>
                <c:pt idx="262">
                  <c:v>2006.1999999999762</c:v>
                </c:pt>
                <c:pt idx="263">
                  <c:v>2006.299999999976</c:v>
                </c:pt>
                <c:pt idx="264">
                  <c:v>2006.399999999976</c:v>
                </c:pt>
                <c:pt idx="265">
                  <c:v>2006.499999999976</c:v>
                </c:pt>
                <c:pt idx="266">
                  <c:v>2006.5999999999758</c:v>
                </c:pt>
                <c:pt idx="267">
                  <c:v>2006.6999999999757</c:v>
                </c:pt>
                <c:pt idx="268">
                  <c:v>2006.7999999999756</c:v>
                </c:pt>
                <c:pt idx="269">
                  <c:v>2006.8999999999755</c:v>
                </c:pt>
                <c:pt idx="270">
                  <c:v>2006.9999999999754</c:v>
                </c:pt>
                <c:pt idx="271">
                  <c:v>2007.0999999999754</c:v>
                </c:pt>
                <c:pt idx="272">
                  <c:v>2007.1999999999753</c:v>
                </c:pt>
                <c:pt idx="273">
                  <c:v>2007.2999999999752</c:v>
                </c:pt>
                <c:pt idx="274">
                  <c:v>2007.399999999975</c:v>
                </c:pt>
                <c:pt idx="275">
                  <c:v>2007.499999999975</c:v>
                </c:pt>
                <c:pt idx="276">
                  <c:v>2007.599999999975</c:v>
                </c:pt>
                <c:pt idx="277">
                  <c:v>2007.6999999999748</c:v>
                </c:pt>
                <c:pt idx="278">
                  <c:v>2007.7999999999747</c:v>
                </c:pt>
                <c:pt idx="279">
                  <c:v>2007.8999999999746</c:v>
                </c:pt>
                <c:pt idx="280">
                  <c:v>2007.9999999999745</c:v>
                </c:pt>
                <c:pt idx="281">
                  <c:v>2008.0999999999744</c:v>
                </c:pt>
                <c:pt idx="282">
                  <c:v>2008.1999999999744</c:v>
                </c:pt>
                <c:pt idx="283">
                  <c:v>2008.2999999999743</c:v>
                </c:pt>
                <c:pt idx="284">
                  <c:v>2008.3999999999742</c:v>
                </c:pt>
                <c:pt idx="285">
                  <c:v>2008.499999999974</c:v>
                </c:pt>
                <c:pt idx="286">
                  <c:v>2008.599999999974</c:v>
                </c:pt>
                <c:pt idx="287">
                  <c:v>2008.699999999974</c:v>
                </c:pt>
                <c:pt idx="288">
                  <c:v>2008.7999999999738</c:v>
                </c:pt>
                <c:pt idx="289">
                  <c:v>2008.8999999999737</c:v>
                </c:pt>
                <c:pt idx="290">
                  <c:v>2008.9999999999736</c:v>
                </c:pt>
                <c:pt idx="291">
                  <c:v>2009.0999999999735</c:v>
                </c:pt>
                <c:pt idx="292">
                  <c:v>2009.1999999999734</c:v>
                </c:pt>
                <c:pt idx="293">
                  <c:v>2009.2999999999734</c:v>
                </c:pt>
                <c:pt idx="294">
                  <c:v>2009.3999999999733</c:v>
                </c:pt>
                <c:pt idx="295">
                  <c:v>2009.4999999999732</c:v>
                </c:pt>
                <c:pt idx="296">
                  <c:v>2009.599999999973</c:v>
                </c:pt>
                <c:pt idx="297">
                  <c:v>2009.699999999973</c:v>
                </c:pt>
                <c:pt idx="298">
                  <c:v>2009.799999999973</c:v>
                </c:pt>
                <c:pt idx="299">
                  <c:v>2009.8999999999728</c:v>
                </c:pt>
                <c:pt idx="300">
                  <c:v>2009.9999999999727</c:v>
                </c:pt>
                <c:pt idx="301">
                  <c:v>2010.0999999999726</c:v>
                </c:pt>
                <c:pt idx="302">
                  <c:v>2010.1999999999725</c:v>
                </c:pt>
                <c:pt idx="303">
                  <c:v>2010.2999999999724</c:v>
                </c:pt>
                <c:pt idx="304">
                  <c:v>2010.3999999999724</c:v>
                </c:pt>
                <c:pt idx="305">
                  <c:v>2010.4999999999723</c:v>
                </c:pt>
                <c:pt idx="306">
                  <c:v>2010.5999999999722</c:v>
                </c:pt>
                <c:pt idx="307">
                  <c:v>2010.699999999972</c:v>
                </c:pt>
                <c:pt idx="308">
                  <c:v>2010.799999999972</c:v>
                </c:pt>
                <c:pt idx="309">
                  <c:v>2010.899999999972</c:v>
                </c:pt>
                <c:pt idx="310">
                  <c:v>2010.9999999999718</c:v>
                </c:pt>
                <c:pt idx="311">
                  <c:v>2011.0999999999717</c:v>
                </c:pt>
                <c:pt idx="312">
                  <c:v>2011.1999999999716</c:v>
                </c:pt>
                <c:pt idx="313">
                  <c:v>2011.2999999999715</c:v>
                </c:pt>
                <c:pt idx="314">
                  <c:v>2011.3999999999714</c:v>
                </c:pt>
                <c:pt idx="315">
                  <c:v>2011.4999999999714</c:v>
                </c:pt>
                <c:pt idx="316">
                  <c:v>2011.5999999999713</c:v>
                </c:pt>
                <c:pt idx="317">
                  <c:v>2011.6999999999712</c:v>
                </c:pt>
                <c:pt idx="318">
                  <c:v>2011.799999999971</c:v>
                </c:pt>
                <c:pt idx="319">
                  <c:v>2011.899999999971</c:v>
                </c:pt>
                <c:pt idx="320">
                  <c:v>2011.999999999971</c:v>
                </c:pt>
                <c:pt idx="321">
                  <c:v>2012.0999999999708</c:v>
                </c:pt>
                <c:pt idx="322">
                  <c:v>2012.1999999999707</c:v>
                </c:pt>
                <c:pt idx="323">
                  <c:v>2012.2999999999706</c:v>
                </c:pt>
                <c:pt idx="324">
                  <c:v>2012.3999999999705</c:v>
                </c:pt>
                <c:pt idx="325">
                  <c:v>2012.4999999999704</c:v>
                </c:pt>
                <c:pt idx="326">
                  <c:v>2012.5999999999704</c:v>
                </c:pt>
                <c:pt idx="327">
                  <c:v>2012.6999999999703</c:v>
                </c:pt>
                <c:pt idx="328">
                  <c:v>2012.7999999999702</c:v>
                </c:pt>
                <c:pt idx="329">
                  <c:v>2012.89999999997</c:v>
                </c:pt>
                <c:pt idx="330">
                  <c:v>2012.99999999997</c:v>
                </c:pt>
                <c:pt idx="331">
                  <c:v>2013.09999999997</c:v>
                </c:pt>
                <c:pt idx="332">
                  <c:v>2013.1999999999698</c:v>
                </c:pt>
                <c:pt idx="333">
                  <c:v>2013.2999999999697</c:v>
                </c:pt>
                <c:pt idx="334">
                  <c:v>2013.3999999999696</c:v>
                </c:pt>
                <c:pt idx="335">
                  <c:v>2013.4999999999695</c:v>
                </c:pt>
                <c:pt idx="336">
                  <c:v>2013.5999999999694</c:v>
                </c:pt>
                <c:pt idx="337">
                  <c:v>2013.6999999999694</c:v>
                </c:pt>
                <c:pt idx="338">
                  <c:v>2013.7999999999693</c:v>
                </c:pt>
                <c:pt idx="339">
                  <c:v>2013.8999999999692</c:v>
                </c:pt>
                <c:pt idx="340">
                  <c:v>2013.999999999969</c:v>
                </c:pt>
                <c:pt idx="341">
                  <c:v>2014.099999999969</c:v>
                </c:pt>
                <c:pt idx="342">
                  <c:v>2014.199999999969</c:v>
                </c:pt>
                <c:pt idx="343">
                  <c:v>2014.2999999999688</c:v>
                </c:pt>
                <c:pt idx="344">
                  <c:v>2014.3999999999687</c:v>
                </c:pt>
                <c:pt idx="345">
                  <c:v>2014.4999999999686</c:v>
                </c:pt>
                <c:pt idx="346">
                  <c:v>2014.5999999999685</c:v>
                </c:pt>
                <c:pt idx="347">
                  <c:v>2014.6999999999684</c:v>
                </c:pt>
                <c:pt idx="348">
                  <c:v>2014.7999999999683</c:v>
                </c:pt>
                <c:pt idx="349">
                  <c:v>2014.8999999999683</c:v>
                </c:pt>
                <c:pt idx="350">
                  <c:v>2014.9999999999682</c:v>
                </c:pt>
                <c:pt idx="351">
                  <c:v>2015.099999999968</c:v>
                </c:pt>
                <c:pt idx="352">
                  <c:v>2015.199999999968</c:v>
                </c:pt>
                <c:pt idx="353">
                  <c:v>2015.299999999968</c:v>
                </c:pt>
                <c:pt idx="354">
                  <c:v>2015.3999999999678</c:v>
                </c:pt>
                <c:pt idx="355">
                  <c:v>2015.4999999999677</c:v>
                </c:pt>
                <c:pt idx="356">
                  <c:v>2015.5999999999676</c:v>
                </c:pt>
                <c:pt idx="357">
                  <c:v>2015.6999999999675</c:v>
                </c:pt>
                <c:pt idx="358">
                  <c:v>2015.7999999999674</c:v>
                </c:pt>
                <c:pt idx="359">
                  <c:v>2015.8999999999673</c:v>
                </c:pt>
                <c:pt idx="360">
                  <c:v>2015.9999999999673</c:v>
                </c:pt>
                <c:pt idx="361">
                  <c:v>2016.0999999999672</c:v>
                </c:pt>
                <c:pt idx="362">
                  <c:v>2016.199999999967</c:v>
                </c:pt>
                <c:pt idx="363">
                  <c:v>2016.299999999967</c:v>
                </c:pt>
                <c:pt idx="364">
                  <c:v>2016.399999999967</c:v>
                </c:pt>
                <c:pt idx="365">
                  <c:v>2016.4999999999668</c:v>
                </c:pt>
                <c:pt idx="366">
                  <c:v>2016.5999999999667</c:v>
                </c:pt>
                <c:pt idx="367">
                  <c:v>2016.6999999999666</c:v>
                </c:pt>
                <c:pt idx="368">
                  <c:v>2016.7999999999665</c:v>
                </c:pt>
                <c:pt idx="369">
                  <c:v>2016.8999999999664</c:v>
                </c:pt>
                <c:pt idx="370">
                  <c:v>2016.9999999999663</c:v>
                </c:pt>
                <c:pt idx="371">
                  <c:v>2017.0999999999663</c:v>
                </c:pt>
                <c:pt idx="372">
                  <c:v>2017.1999999999662</c:v>
                </c:pt>
                <c:pt idx="373">
                  <c:v>2017.299999999966</c:v>
                </c:pt>
                <c:pt idx="374">
                  <c:v>2017.399999999966</c:v>
                </c:pt>
                <c:pt idx="375">
                  <c:v>2017.499999999966</c:v>
                </c:pt>
                <c:pt idx="376">
                  <c:v>2017.5999999999658</c:v>
                </c:pt>
                <c:pt idx="377">
                  <c:v>2017.6999999999657</c:v>
                </c:pt>
                <c:pt idx="378">
                  <c:v>2017.7999999999656</c:v>
                </c:pt>
                <c:pt idx="379">
                  <c:v>2017.8999999999655</c:v>
                </c:pt>
                <c:pt idx="380">
                  <c:v>2017.9999999999654</c:v>
                </c:pt>
                <c:pt idx="381">
                  <c:v>2018.0999999999653</c:v>
                </c:pt>
                <c:pt idx="382">
                  <c:v>2018.1999999999653</c:v>
                </c:pt>
                <c:pt idx="383">
                  <c:v>2018.2999999999652</c:v>
                </c:pt>
                <c:pt idx="384">
                  <c:v>2018.399999999965</c:v>
                </c:pt>
                <c:pt idx="385">
                  <c:v>2018.499999999965</c:v>
                </c:pt>
                <c:pt idx="386">
                  <c:v>2018.599999999965</c:v>
                </c:pt>
                <c:pt idx="387">
                  <c:v>2018.6999999999648</c:v>
                </c:pt>
                <c:pt idx="388">
                  <c:v>2018.7999999999647</c:v>
                </c:pt>
                <c:pt idx="389">
                  <c:v>2018.8999999999646</c:v>
                </c:pt>
                <c:pt idx="390">
                  <c:v>2018.9999999999645</c:v>
                </c:pt>
                <c:pt idx="391">
                  <c:v>2019.0999999999644</c:v>
                </c:pt>
                <c:pt idx="392">
                  <c:v>2019.1999999999643</c:v>
                </c:pt>
                <c:pt idx="393">
                  <c:v>2019.2999999999643</c:v>
                </c:pt>
                <c:pt idx="394">
                  <c:v>2019.3999999999642</c:v>
                </c:pt>
                <c:pt idx="395">
                  <c:v>2019.499999999964</c:v>
                </c:pt>
                <c:pt idx="396">
                  <c:v>2019.599999999964</c:v>
                </c:pt>
                <c:pt idx="397">
                  <c:v>2019.699999999964</c:v>
                </c:pt>
                <c:pt idx="398">
                  <c:v>2019.7999999999638</c:v>
                </c:pt>
                <c:pt idx="399">
                  <c:v>2019.8999999999637</c:v>
                </c:pt>
                <c:pt idx="400">
                  <c:v>2019.9999999999636</c:v>
                </c:pt>
                <c:pt idx="401">
                  <c:v>2020.0999999999635</c:v>
                </c:pt>
                <c:pt idx="402">
                  <c:v>2020.1999999999634</c:v>
                </c:pt>
                <c:pt idx="403">
                  <c:v>2020.2999999999633</c:v>
                </c:pt>
                <c:pt idx="404">
                  <c:v>2020.3999999999633</c:v>
                </c:pt>
                <c:pt idx="405">
                  <c:v>2020.4999999999632</c:v>
                </c:pt>
                <c:pt idx="406">
                  <c:v>2020.599999999963</c:v>
                </c:pt>
                <c:pt idx="407">
                  <c:v>2020.699999999963</c:v>
                </c:pt>
                <c:pt idx="408">
                  <c:v>2020.799999999963</c:v>
                </c:pt>
                <c:pt idx="409">
                  <c:v>2020.8999999999628</c:v>
                </c:pt>
                <c:pt idx="410">
                  <c:v>2020.9999999999627</c:v>
                </c:pt>
                <c:pt idx="411">
                  <c:v>2021.0999999999626</c:v>
                </c:pt>
                <c:pt idx="412">
                  <c:v>2021.1999999999625</c:v>
                </c:pt>
                <c:pt idx="413">
                  <c:v>2021.2999999999624</c:v>
                </c:pt>
                <c:pt idx="414">
                  <c:v>2021.3999999999623</c:v>
                </c:pt>
                <c:pt idx="415">
                  <c:v>2021.4999999999623</c:v>
                </c:pt>
                <c:pt idx="416">
                  <c:v>2021.5999999999622</c:v>
                </c:pt>
                <c:pt idx="417">
                  <c:v>2021.699999999962</c:v>
                </c:pt>
                <c:pt idx="418">
                  <c:v>2021.799999999962</c:v>
                </c:pt>
                <c:pt idx="419">
                  <c:v>2021.899999999962</c:v>
                </c:pt>
                <c:pt idx="420">
                  <c:v>2021.9999999999618</c:v>
                </c:pt>
                <c:pt idx="421">
                  <c:v>2022.0999999999617</c:v>
                </c:pt>
                <c:pt idx="422">
                  <c:v>2022.1999999999616</c:v>
                </c:pt>
                <c:pt idx="423">
                  <c:v>2022.2999999999615</c:v>
                </c:pt>
                <c:pt idx="424">
                  <c:v>2022.3999999999614</c:v>
                </c:pt>
                <c:pt idx="425">
                  <c:v>2022.4999999999613</c:v>
                </c:pt>
                <c:pt idx="426">
                  <c:v>2022.5999999999613</c:v>
                </c:pt>
                <c:pt idx="427">
                  <c:v>2022.6999999999612</c:v>
                </c:pt>
                <c:pt idx="428">
                  <c:v>2022.799999999961</c:v>
                </c:pt>
                <c:pt idx="429">
                  <c:v>2022.899999999961</c:v>
                </c:pt>
                <c:pt idx="430">
                  <c:v>2022.999999999961</c:v>
                </c:pt>
                <c:pt idx="431">
                  <c:v>2023.0999999999608</c:v>
                </c:pt>
                <c:pt idx="432">
                  <c:v>2023.1999999999607</c:v>
                </c:pt>
                <c:pt idx="433">
                  <c:v>2023.2999999999606</c:v>
                </c:pt>
                <c:pt idx="434">
                  <c:v>2023.3999999999605</c:v>
                </c:pt>
                <c:pt idx="435">
                  <c:v>2023.4999999999604</c:v>
                </c:pt>
                <c:pt idx="436">
                  <c:v>2023.5999999999603</c:v>
                </c:pt>
                <c:pt idx="437">
                  <c:v>2023.6999999999603</c:v>
                </c:pt>
                <c:pt idx="438">
                  <c:v>2023.7999999999602</c:v>
                </c:pt>
                <c:pt idx="439">
                  <c:v>2023.89999999996</c:v>
                </c:pt>
                <c:pt idx="440">
                  <c:v>2023.99999999996</c:v>
                </c:pt>
                <c:pt idx="441">
                  <c:v>2024.09999999996</c:v>
                </c:pt>
                <c:pt idx="442">
                  <c:v>2024.1999999999598</c:v>
                </c:pt>
                <c:pt idx="443">
                  <c:v>2024.2999999999597</c:v>
                </c:pt>
                <c:pt idx="444">
                  <c:v>2024.3999999999596</c:v>
                </c:pt>
                <c:pt idx="445">
                  <c:v>2024.4999999999595</c:v>
                </c:pt>
                <c:pt idx="446">
                  <c:v>2024.5999999999594</c:v>
                </c:pt>
                <c:pt idx="447">
                  <c:v>2024.6999999999593</c:v>
                </c:pt>
                <c:pt idx="448">
                  <c:v>2024.7999999999593</c:v>
                </c:pt>
                <c:pt idx="449">
                  <c:v>2024.8999999999592</c:v>
                </c:pt>
                <c:pt idx="450">
                  <c:v>2024.999999999959</c:v>
                </c:pt>
                <c:pt idx="451">
                  <c:v>2025.099999999959</c:v>
                </c:pt>
                <c:pt idx="452">
                  <c:v>2025.199999999959</c:v>
                </c:pt>
                <c:pt idx="453">
                  <c:v>2025.2999999999588</c:v>
                </c:pt>
                <c:pt idx="454">
                  <c:v>2025.3999999999587</c:v>
                </c:pt>
                <c:pt idx="455">
                  <c:v>2025.4999999999586</c:v>
                </c:pt>
                <c:pt idx="456">
                  <c:v>2025.5999999999585</c:v>
                </c:pt>
                <c:pt idx="457">
                  <c:v>2025.6999999999584</c:v>
                </c:pt>
                <c:pt idx="458">
                  <c:v>2025.7999999999583</c:v>
                </c:pt>
                <c:pt idx="459">
                  <c:v>2025.8999999999583</c:v>
                </c:pt>
                <c:pt idx="460">
                  <c:v>2025.9999999999582</c:v>
                </c:pt>
                <c:pt idx="461">
                  <c:v>2026.099999999958</c:v>
                </c:pt>
                <c:pt idx="462">
                  <c:v>2026.199999999958</c:v>
                </c:pt>
                <c:pt idx="463">
                  <c:v>2026.299999999958</c:v>
                </c:pt>
                <c:pt idx="464">
                  <c:v>2026.3999999999578</c:v>
                </c:pt>
                <c:pt idx="465">
                  <c:v>2026.4999999999577</c:v>
                </c:pt>
                <c:pt idx="466">
                  <c:v>2026.5999999999576</c:v>
                </c:pt>
                <c:pt idx="467">
                  <c:v>2026.6999999999575</c:v>
                </c:pt>
                <c:pt idx="468">
                  <c:v>2026.7999999999574</c:v>
                </c:pt>
                <c:pt idx="469">
                  <c:v>2026.8999999999573</c:v>
                </c:pt>
                <c:pt idx="470">
                  <c:v>2026.9999999999573</c:v>
                </c:pt>
                <c:pt idx="471">
                  <c:v>2027.0999999999572</c:v>
                </c:pt>
                <c:pt idx="472">
                  <c:v>2027.199999999957</c:v>
                </c:pt>
                <c:pt idx="473">
                  <c:v>2027.299999999957</c:v>
                </c:pt>
                <c:pt idx="474">
                  <c:v>2027.399999999957</c:v>
                </c:pt>
                <c:pt idx="475">
                  <c:v>2027.4999999999568</c:v>
                </c:pt>
                <c:pt idx="476">
                  <c:v>2027.5999999999567</c:v>
                </c:pt>
                <c:pt idx="477">
                  <c:v>2027.6999999999566</c:v>
                </c:pt>
                <c:pt idx="478">
                  <c:v>2027.7999999999565</c:v>
                </c:pt>
                <c:pt idx="479">
                  <c:v>2027.8999999999564</c:v>
                </c:pt>
                <c:pt idx="480">
                  <c:v>2027.9999999999563</c:v>
                </c:pt>
                <c:pt idx="481">
                  <c:v>2028.0999999999563</c:v>
                </c:pt>
                <c:pt idx="482">
                  <c:v>2028.1999999999562</c:v>
                </c:pt>
                <c:pt idx="483">
                  <c:v>2028.299999999956</c:v>
                </c:pt>
                <c:pt idx="484">
                  <c:v>2028.399999999956</c:v>
                </c:pt>
                <c:pt idx="485">
                  <c:v>2028.499999999956</c:v>
                </c:pt>
                <c:pt idx="486">
                  <c:v>2028.5999999999558</c:v>
                </c:pt>
                <c:pt idx="487">
                  <c:v>2028.6999999999557</c:v>
                </c:pt>
                <c:pt idx="488">
                  <c:v>2028.7999999999556</c:v>
                </c:pt>
                <c:pt idx="489">
                  <c:v>2028.8999999999555</c:v>
                </c:pt>
                <c:pt idx="490">
                  <c:v>2028.9999999999554</c:v>
                </c:pt>
                <c:pt idx="491">
                  <c:v>2029.0999999999553</c:v>
                </c:pt>
                <c:pt idx="492">
                  <c:v>2029.1999999999553</c:v>
                </c:pt>
                <c:pt idx="493">
                  <c:v>2029.2999999999552</c:v>
                </c:pt>
                <c:pt idx="494">
                  <c:v>2029.399999999955</c:v>
                </c:pt>
                <c:pt idx="495">
                  <c:v>2029.499999999955</c:v>
                </c:pt>
                <c:pt idx="496">
                  <c:v>2029.599999999955</c:v>
                </c:pt>
                <c:pt idx="497">
                  <c:v>2029.6999999999548</c:v>
                </c:pt>
                <c:pt idx="498">
                  <c:v>2029.7999999999547</c:v>
                </c:pt>
                <c:pt idx="499">
                  <c:v>2029.8999999999546</c:v>
                </c:pt>
                <c:pt idx="500">
                  <c:v>2029.9999999999545</c:v>
                </c:pt>
              </c:numCache>
            </c:numRef>
          </c:cat>
          <c:val>
            <c:numRef>
              <c:f>'EPP model'!$W$3:$W$503</c:f>
              <c:numCache>
                <c:ptCount val="501"/>
                <c:pt idx="0">
                  <c:v>#N/A</c:v>
                </c:pt>
                <c:pt idx="10">
                  <c:v>#N/A</c:v>
                </c:pt>
                <c:pt idx="20">
                  <c:v>#N/A</c:v>
                </c:pt>
                <c:pt idx="30">
                  <c:v>#N/A</c:v>
                </c:pt>
                <c:pt idx="40">
                  <c:v>#N/A</c:v>
                </c:pt>
                <c:pt idx="50">
                  <c:v>#N/A</c:v>
                </c:pt>
                <c:pt idx="60">
                  <c:v>#N/A</c:v>
                </c:pt>
                <c:pt idx="70">
                  <c:v>#N/A</c:v>
                </c:pt>
                <c:pt idx="80">
                  <c:v>#N/A</c:v>
                </c:pt>
                <c:pt idx="90">
                  <c:v>#N/A</c:v>
                </c:pt>
                <c:pt idx="100">
                  <c:v>#N/A</c:v>
                </c:pt>
                <c:pt idx="110">
                  <c:v>#N/A</c:v>
                </c:pt>
                <c:pt idx="120">
                  <c:v>#N/A</c:v>
                </c:pt>
                <c:pt idx="130">
                  <c:v>#N/A</c:v>
                </c:pt>
                <c:pt idx="140">
                  <c:v>#N/A</c:v>
                </c:pt>
                <c:pt idx="150">
                  <c:v>#N/A</c:v>
                </c:pt>
                <c:pt idx="160">
                  <c:v>#N/A</c:v>
                </c:pt>
                <c:pt idx="170">
                  <c:v>#N/A</c:v>
                </c:pt>
                <c:pt idx="180">
                  <c:v>#N/A</c:v>
                </c:pt>
                <c:pt idx="190">
                  <c:v>#N/A</c:v>
                </c:pt>
                <c:pt idx="200">
                  <c:v>#N/A</c:v>
                </c:pt>
                <c:pt idx="210">
                  <c:v>#N/A</c:v>
                </c:pt>
                <c:pt idx="220">
                  <c:v>0.3488127496332953</c:v>
                </c:pt>
                <c:pt idx="230">
                  <c:v>#N/A</c:v>
                </c:pt>
                <c:pt idx="240">
                  <c:v>#N/A</c:v>
                </c:pt>
                <c:pt idx="250">
                  <c:v>0.4327795082492024</c:v>
                </c:pt>
                <c:pt idx="300">
                  <c:v>0.4962577885116142</c:v>
                </c:pt>
                <c:pt idx="400">
                  <c:v>0.5033081104224157</c:v>
                </c:pt>
                <c:pt idx="500">
                  <c:v>0.5033081104224157</c:v>
                </c:pt>
              </c:numCache>
            </c:numRef>
          </c:val>
          <c:smooth val="0"/>
        </c:ser>
        <c:ser>
          <c:idx val="0"/>
          <c:order val="1"/>
          <c:tx>
            <c:v>Curve</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'EPP model'!$A$3:$A$503</c:f>
              <c:numCache>
                <c:ptCount val="501"/>
                <c:pt idx="0">
                  <c:v>1980</c:v>
                </c:pt>
                <c:pt idx="1">
                  <c:v>1980.1</c:v>
                </c:pt>
                <c:pt idx="2">
                  <c:v>1980.1999999999998</c:v>
                </c:pt>
                <c:pt idx="3">
                  <c:v>1980.2999999999997</c:v>
                </c:pt>
                <c:pt idx="4">
                  <c:v>1980.3999999999996</c:v>
                </c:pt>
                <c:pt idx="5">
                  <c:v>1980.4999999999995</c:v>
                </c:pt>
                <c:pt idx="6">
                  <c:v>1980.5999999999995</c:v>
                </c:pt>
                <c:pt idx="7">
                  <c:v>1980.6999999999994</c:v>
                </c:pt>
                <c:pt idx="8">
                  <c:v>1980.7999999999993</c:v>
                </c:pt>
                <c:pt idx="9">
                  <c:v>1980.8999999999992</c:v>
                </c:pt>
                <c:pt idx="10">
                  <c:v>1980.999999999999</c:v>
                </c:pt>
                <c:pt idx="11">
                  <c:v>1981.099999999999</c:v>
                </c:pt>
                <c:pt idx="12">
                  <c:v>1981.199999999999</c:v>
                </c:pt>
                <c:pt idx="13">
                  <c:v>1981.2999999999988</c:v>
                </c:pt>
                <c:pt idx="14">
                  <c:v>1981.3999999999987</c:v>
                </c:pt>
                <c:pt idx="15">
                  <c:v>1981.4999999999986</c:v>
                </c:pt>
                <c:pt idx="16">
                  <c:v>1981.5999999999985</c:v>
                </c:pt>
                <c:pt idx="17">
                  <c:v>1981.6999999999985</c:v>
                </c:pt>
                <c:pt idx="18">
                  <c:v>1981.7999999999984</c:v>
                </c:pt>
                <c:pt idx="19">
                  <c:v>1981.8999999999983</c:v>
                </c:pt>
                <c:pt idx="20">
                  <c:v>1981.9999999999982</c:v>
                </c:pt>
                <c:pt idx="21">
                  <c:v>1982.099999999998</c:v>
                </c:pt>
                <c:pt idx="22">
                  <c:v>1982.199999999998</c:v>
                </c:pt>
                <c:pt idx="23">
                  <c:v>1982.299999999998</c:v>
                </c:pt>
                <c:pt idx="24">
                  <c:v>1982.3999999999978</c:v>
                </c:pt>
                <c:pt idx="25">
                  <c:v>1982.4999999999977</c:v>
                </c:pt>
                <c:pt idx="26">
                  <c:v>1982.5999999999976</c:v>
                </c:pt>
                <c:pt idx="27">
                  <c:v>1982.6999999999975</c:v>
                </c:pt>
                <c:pt idx="28">
                  <c:v>1982.7999999999975</c:v>
                </c:pt>
                <c:pt idx="29">
                  <c:v>1982.8999999999974</c:v>
                </c:pt>
                <c:pt idx="30">
                  <c:v>1982.9999999999973</c:v>
                </c:pt>
                <c:pt idx="31">
                  <c:v>1983.0999999999972</c:v>
                </c:pt>
                <c:pt idx="32">
                  <c:v>1983.199999999997</c:v>
                </c:pt>
                <c:pt idx="33">
                  <c:v>1983.299999999997</c:v>
                </c:pt>
                <c:pt idx="34">
                  <c:v>1983.399999999997</c:v>
                </c:pt>
                <c:pt idx="35">
                  <c:v>1983.4999999999968</c:v>
                </c:pt>
                <c:pt idx="36">
                  <c:v>1983.5999999999967</c:v>
                </c:pt>
                <c:pt idx="37">
                  <c:v>1983.6999999999966</c:v>
                </c:pt>
                <c:pt idx="38">
                  <c:v>1983.7999999999965</c:v>
                </c:pt>
                <c:pt idx="39">
                  <c:v>1983.8999999999965</c:v>
                </c:pt>
                <c:pt idx="40">
                  <c:v>1983.9999999999964</c:v>
                </c:pt>
                <c:pt idx="41">
                  <c:v>1984.0999999999963</c:v>
                </c:pt>
                <c:pt idx="42">
                  <c:v>1984.1999999999962</c:v>
                </c:pt>
                <c:pt idx="43">
                  <c:v>1984.299999999996</c:v>
                </c:pt>
                <c:pt idx="44">
                  <c:v>1984.399999999996</c:v>
                </c:pt>
                <c:pt idx="45">
                  <c:v>1984.499999999996</c:v>
                </c:pt>
                <c:pt idx="46">
                  <c:v>1984.5999999999958</c:v>
                </c:pt>
                <c:pt idx="47">
                  <c:v>1984.6999999999957</c:v>
                </c:pt>
                <c:pt idx="48">
                  <c:v>1984.7999999999956</c:v>
                </c:pt>
                <c:pt idx="49">
                  <c:v>1984.8999999999955</c:v>
                </c:pt>
                <c:pt idx="50">
                  <c:v>1984.9999999999955</c:v>
                </c:pt>
                <c:pt idx="51">
                  <c:v>1985.0999999999954</c:v>
                </c:pt>
                <c:pt idx="52">
                  <c:v>1985.1999999999953</c:v>
                </c:pt>
                <c:pt idx="53">
                  <c:v>1985.2999999999952</c:v>
                </c:pt>
                <c:pt idx="54">
                  <c:v>1985.399999999995</c:v>
                </c:pt>
                <c:pt idx="55">
                  <c:v>1985.499999999995</c:v>
                </c:pt>
                <c:pt idx="56">
                  <c:v>1985.599999999995</c:v>
                </c:pt>
                <c:pt idx="57">
                  <c:v>1985.6999999999948</c:v>
                </c:pt>
                <c:pt idx="58">
                  <c:v>1985.7999999999947</c:v>
                </c:pt>
                <c:pt idx="59">
                  <c:v>1985.8999999999946</c:v>
                </c:pt>
                <c:pt idx="60">
                  <c:v>1985.9999999999945</c:v>
                </c:pt>
                <c:pt idx="61">
                  <c:v>1986.0999999999945</c:v>
                </c:pt>
                <c:pt idx="62">
                  <c:v>1986.1999999999944</c:v>
                </c:pt>
                <c:pt idx="63">
                  <c:v>1986.2999999999943</c:v>
                </c:pt>
                <c:pt idx="64">
                  <c:v>1986.3999999999942</c:v>
                </c:pt>
                <c:pt idx="65">
                  <c:v>1986.499999999994</c:v>
                </c:pt>
                <c:pt idx="66">
                  <c:v>1986.599999999994</c:v>
                </c:pt>
                <c:pt idx="67">
                  <c:v>1986.699999999994</c:v>
                </c:pt>
                <c:pt idx="68">
                  <c:v>1986.7999999999938</c:v>
                </c:pt>
                <c:pt idx="69">
                  <c:v>1986.8999999999937</c:v>
                </c:pt>
                <c:pt idx="70">
                  <c:v>1986.9999999999936</c:v>
                </c:pt>
                <c:pt idx="71">
                  <c:v>1987.0999999999935</c:v>
                </c:pt>
                <c:pt idx="72">
                  <c:v>1987.1999999999935</c:v>
                </c:pt>
                <c:pt idx="73">
                  <c:v>1987.2999999999934</c:v>
                </c:pt>
                <c:pt idx="74">
                  <c:v>1987.3999999999933</c:v>
                </c:pt>
                <c:pt idx="75">
                  <c:v>1987.4999999999932</c:v>
                </c:pt>
                <c:pt idx="76">
                  <c:v>1987.599999999993</c:v>
                </c:pt>
                <c:pt idx="77">
                  <c:v>1987.699999999993</c:v>
                </c:pt>
                <c:pt idx="78">
                  <c:v>1987.799999999993</c:v>
                </c:pt>
                <c:pt idx="79">
                  <c:v>1987.8999999999928</c:v>
                </c:pt>
                <c:pt idx="80">
                  <c:v>1987.9999999999927</c:v>
                </c:pt>
                <c:pt idx="81">
                  <c:v>1988.0999999999926</c:v>
                </c:pt>
                <c:pt idx="82">
                  <c:v>1988.1999999999925</c:v>
                </c:pt>
                <c:pt idx="83">
                  <c:v>1988.2999999999925</c:v>
                </c:pt>
                <c:pt idx="84">
                  <c:v>1988.3999999999924</c:v>
                </c:pt>
                <c:pt idx="85">
                  <c:v>1988.4999999999923</c:v>
                </c:pt>
                <c:pt idx="86">
                  <c:v>1988.5999999999922</c:v>
                </c:pt>
                <c:pt idx="87">
                  <c:v>1988.699999999992</c:v>
                </c:pt>
                <c:pt idx="88">
                  <c:v>1988.799999999992</c:v>
                </c:pt>
                <c:pt idx="89">
                  <c:v>1988.899999999992</c:v>
                </c:pt>
                <c:pt idx="90">
                  <c:v>1988.9999999999918</c:v>
                </c:pt>
                <c:pt idx="91">
                  <c:v>1989.0999999999917</c:v>
                </c:pt>
                <c:pt idx="92">
                  <c:v>1989.1999999999916</c:v>
                </c:pt>
                <c:pt idx="93">
                  <c:v>1989.2999999999915</c:v>
                </c:pt>
                <c:pt idx="94">
                  <c:v>1989.3999999999915</c:v>
                </c:pt>
                <c:pt idx="95">
                  <c:v>1989.4999999999914</c:v>
                </c:pt>
                <c:pt idx="96">
                  <c:v>1989.5999999999913</c:v>
                </c:pt>
                <c:pt idx="97">
                  <c:v>1989.6999999999912</c:v>
                </c:pt>
                <c:pt idx="98">
                  <c:v>1989.799999999991</c:v>
                </c:pt>
                <c:pt idx="99">
                  <c:v>1989.899999999991</c:v>
                </c:pt>
                <c:pt idx="100">
                  <c:v>1989.999999999991</c:v>
                </c:pt>
                <c:pt idx="101">
                  <c:v>1990.0999999999908</c:v>
                </c:pt>
                <c:pt idx="102">
                  <c:v>1990.1999999999907</c:v>
                </c:pt>
                <c:pt idx="103">
                  <c:v>1990.2999999999906</c:v>
                </c:pt>
                <c:pt idx="104">
                  <c:v>1990.3999999999905</c:v>
                </c:pt>
                <c:pt idx="105">
                  <c:v>1990.4999999999905</c:v>
                </c:pt>
                <c:pt idx="106">
                  <c:v>1990.5999999999904</c:v>
                </c:pt>
                <c:pt idx="107">
                  <c:v>1990.6999999999903</c:v>
                </c:pt>
                <c:pt idx="108">
                  <c:v>1990.7999999999902</c:v>
                </c:pt>
                <c:pt idx="109">
                  <c:v>1990.89999999999</c:v>
                </c:pt>
                <c:pt idx="110">
                  <c:v>1990.99999999999</c:v>
                </c:pt>
                <c:pt idx="111">
                  <c:v>1991.09999999999</c:v>
                </c:pt>
                <c:pt idx="112">
                  <c:v>1991.1999999999898</c:v>
                </c:pt>
                <c:pt idx="113">
                  <c:v>1991.2999999999897</c:v>
                </c:pt>
                <c:pt idx="114">
                  <c:v>1991.3999999999896</c:v>
                </c:pt>
                <c:pt idx="115">
                  <c:v>1991.4999999999895</c:v>
                </c:pt>
                <c:pt idx="116">
                  <c:v>1991.5999999999894</c:v>
                </c:pt>
                <c:pt idx="117">
                  <c:v>1991.6999999999894</c:v>
                </c:pt>
                <c:pt idx="118">
                  <c:v>1991.7999999999893</c:v>
                </c:pt>
                <c:pt idx="119">
                  <c:v>1991.8999999999892</c:v>
                </c:pt>
                <c:pt idx="120">
                  <c:v>1991.999999999989</c:v>
                </c:pt>
                <c:pt idx="121">
                  <c:v>1992.099999999989</c:v>
                </c:pt>
                <c:pt idx="122">
                  <c:v>1992.199999999989</c:v>
                </c:pt>
                <c:pt idx="123">
                  <c:v>1992.2999999999888</c:v>
                </c:pt>
                <c:pt idx="124">
                  <c:v>1992.3999999999887</c:v>
                </c:pt>
                <c:pt idx="125">
                  <c:v>1992.4999999999886</c:v>
                </c:pt>
                <c:pt idx="126">
                  <c:v>1992.5999999999885</c:v>
                </c:pt>
                <c:pt idx="127">
                  <c:v>1992.6999999999884</c:v>
                </c:pt>
                <c:pt idx="128">
                  <c:v>1992.7999999999884</c:v>
                </c:pt>
                <c:pt idx="129">
                  <c:v>1992.8999999999883</c:v>
                </c:pt>
                <c:pt idx="130">
                  <c:v>1992.9999999999882</c:v>
                </c:pt>
                <c:pt idx="131">
                  <c:v>1993.099999999988</c:v>
                </c:pt>
                <c:pt idx="132">
                  <c:v>1993.199999999988</c:v>
                </c:pt>
                <c:pt idx="133">
                  <c:v>1993.299999999988</c:v>
                </c:pt>
                <c:pt idx="134">
                  <c:v>1993.3999999999878</c:v>
                </c:pt>
                <c:pt idx="135">
                  <c:v>1993.4999999999877</c:v>
                </c:pt>
                <c:pt idx="136">
                  <c:v>1993.5999999999876</c:v>
                </c:pt>
                <c:pt idx="137">
                  <c:v>1993.6999999999875</c:v>
                </c:pt>
                <c:pt idx="138">
                  <c:v>1993.7999999999874</c:v>
                </c:pt>
                <c:pt idx="139">
                  <c:v>1993.8999999999874</c:v>
                </c:pt>
                <c:pt idx="140">
                  <c:v>1993.9999999999873</c:v>
                </c:pt>
                <c:pt idx="141">
                  <c:v>1994.0999999999872</c:v>
                </c:pt>
                <c:pt idx="142">
                  <c:v>1994.199999999987</c:v>
                </c:pt>
                <c:pt idx="143">
                  <c:v>1994.299999999987</c:v>
                </c:pt>
                <c:pt idx="144">
                  <c:v>1994.399999999987</c:v>
                </c:pt>
                <c:pt idx="145">
                  <c:v>1994.4999999999868</c:v>
                </c:pt>
                <c:pt idx="146">
                  <c:v>1994.5999999999867</c:v>
                </c:pt>
                <c:pt idx="147">
                  <c:v>1994.6999999999866</c:v>
                </c:pt>
                <c:pt idx="148">
                  <c:v>1994.7999999999865</c:v>
                </c:pt>
                <c:pt idx="149">
                  <c:v>1994.8999999999864</c:v>
                </c:pt>
                <c:pt idx="150">
                  <c:v>1994.9999999999864</c:v>
                </c:pt>
                <c:pt idx="151">
                  <c:v>1995.0999999999863</c:v>
                </c:pt>
                <c:pt idx="152">
                  <c:v>1995.1999999999862</c:v>
                </c:pt>
                <c:pt idx="153">
                  <c:v>1995.299999999986</c:v>
                </c:pt>
                <c:pt idx="154">
                  <c:v>1995.399999999986</c:v>
                </c:pt>
                <c:pt idx="155">
                  <c:v>1995.499999999986</c:v>
                </c:pt>
                <c:pt idx="156">
                  <c:v>1995.5999999999858</c:v>
                </c:pt>
                <c:pt idx="157">
                  <c:v>1995.6999999999857</c:v>
                </c:pt>
                <c:pt idx="158">
                  <c:v>1995.7999999999856</c:v>
                </c:pt>
                <c:pt idx="159">
                  <c:v>1995.8999999999855</c:v>
                </c:pt>
                <c:pt idx="160">
                  <c:v>1995.9999999999854</c:v>
                </c:pt>
                <c:pt idx="161">
                  <c:v>1996.0999999999854</c:v>
                </c:pt>
                <c:pt idx="162">
                  <c:v>1996.1999999999853</c:v>
                </c:pt>
                <c:pt idx="163">
                  <c:v>1996.2999999999852</c:v>
                </c:pt>
                <c:pt idx="164">
                  <c:v>1996.399999999985</c:v>
                </c:pt>
                <c:pt idx="165">
                  <c:v>1996.499999999985</c:v>
                </c:pt>
                <c:pt idx="166">
                  <c:v>1996.599999999985</c:v>
                </c:pt>
                <c:pt idx="167">
                  <c:v>1996.6999999999848</c:v>
                </c:pt>
                <c:pt idx="168">
                  <c:v>1996.7999999999847</c:v>
                </c:pt>
                <c:pt idx="169">
                  <c:v>1996.8999999999846</c:v>
                </c:pt>
                <c:pt idx="170">
                  <c:v>1996.9999999999845</c:v>
                </c:pt>
                <c:pt idx="171">
                  <c:v>1997.0999999999844</c:v>
                </c:pt>
                <c:pt idx="172">
                  <c:v>1997.1999999999844</c:v>
                </c:pt>
                <c:pt idx="173">
                  <c:v>1997.2999999999843</c:v>
                </c:pt>
                <c:pt idx="174">
                  <c:v>1997.3999999999842</c:v>
                </c:pt>
                <c:pt idx="175">
                  <c:v>1997.499999999984</c:v>
                </c:pt>
                <c:pt idx="176">
                  <c:v>1997.599999999984</c:v>
                </c:pt>
                <c:pt idx="177">
                  <c:v>1997.699999999984</c:v>
                </c:pt>
                <c:pt idx="178">
                  <c:v>1997.7999999999838</c:v>
                </c:pt>
                <c:pt idx="179">
                  <c:v>1997.8999999999837</c:v>
                </c:pt>
                <c:pt idx="180">
                  <c:v>1997.9999999999836</c:v>
                </c:pt>
                <c:pt idx="181">
                  <c:v>1998.0999999999835</c:v>
                </c:pt>
                <c:pt idx="182">
                  <c:v>1998.1999999999834</c:v>
                </c:pt>
                <c:pt idx="183">
                  <c:v>1998.2999999999834</c:v>
                </c:pt>
                <c:pt idx="184">
                  <c:v>1998.3999999999833</c:v>
                </c:pt>
                <c:pt idx="185">
                  <c:v>1998.4999999999832</c:v>
                </c:pt>
                <c:pt idx="186">
                  <c:v>1998.599999999983</c:v>
                </c:pt>
                <c:pt idx="187">
                  <c:v>1998.699999999983</c:v>
                </c:pt>
                <c:pt idx="188">
                  <c:v>1998.799999999983</c:v>
                </c:pt>
                <c:pt idx="189">
                  <c:v>1998.8999999999828</c:v>
                </c:pt>
                <c:pt idx="190">
                  <c:v>1998.9999999999827</c:v>
                </c:pt>
                <c:pt idx="191">
                  <c:v>1999.0999999999826</c:v>
                </c:pt>
                <c:pt idx="192">
                  <c:v>1999.1999999999825</c:v>
                </c:pt>
                <c:pt idx="193">
                  <c:v>1999.2999999999824</c:v>
                </c:pt>
                <c:pt idx="194">
                  <c:v>1999.3999999999824</c:v>
                </c:pt>
                <c:pt idx="195">
                  <c:v>1999.4999999999823</c:v>
                </c:pt>
                <c:pt idx="196">
                  <c:v>1999.5999999999822</c:v>
                </c:pt>
                <c:pt idx="197">
                  <c:v>1999.699999999982</c:v>
                </c:pt>
                <c:pt idx="198">
                  <c:v>1999.799999999982</c:v>
                </c:pt>
                <c:pt idx="199">
                  <c:v>1999.899999999982</c:v>
                </c:pt>
                <c:pt idx="200">
                  <c:v>1999.9999999999818</c:v>
                </c:pt>
                <c:pt idx="201">
                  <c:v>2000.0999999999817</c:v>
                </c:pt>
                <c:pt idx="202">
                  <c:v>2000.1999999999816</c:v>
                </c:pt>
                <c:pt idx="203">
                  <c:v>2000.2999999999815</c:v>
                </c:pt>
                <c:pt idx="204">
                  <c:v>2000.3999999999814</c:v>
                </c:pt>
                <c:pt idx="205">
                  <c:v>2000.4999999999814</c:v>
                </c:pt>
                <c:pt idx="206">
                  <c:v>2000.5999999999813</c:v>
                </c:pt>
                <c:pt idx="207">
                  <c:v>2000.6999999999812</c:v>
                </c:pt>
                <c:pt idx="208">
                  <c:v>2000.799999999981</c:v>
                </c:pt>
                <c:pt idx="209">
                  <c:v>2000.899999999981</c:v>
                </c:pt>
                <c:pt idx="210">
                  <c:v>2000.999999999981</c:v>
                </c:pt>
                <c:pt idx="211">
                  <c:v>2001.0999999999808</c:v>
                </c:pt>
                <c:pt idx="212">
                  <c:v>2001.1999999999807</c:v>
                </c:pt>
                <c:pt idx="213">
                  <c:v>2001.2999999999806</c:v>
                </c:pt>
                <c:pt idx="214">
                  <c:v>2001.3999999999805</c:v>
                </c:pt>
                <c:pt idx="215">
                  <c:v>2001.4999999999804</c:v>
                </c:pt>
                <c:pt idx="216">
                  <c:v>2001.5999999999804</c:v>
                </c:pt>
                <c:pt idx="217">
                  <c:v>2001.6999999999803</c:v>
                </c:pt>
                <c:pt idx="218">
                  <c:v>2001.7999999999802</c:v>
                </c:pt>
                <c:pt idx="219">
                  <c:v>2001.89999999998</c:v>
                </c:pt>
                <c:pt idx="220">
                  <c:v>2001.99999999998</c:v>
                </c:pt>
                <c:pt idx="221">
                  <c:v>2002.09999999998</c:v>
                </c:pt>
                <c:pt idx="222">
                  <c:v>2002.1999999999798</c:v>
                </c:pt>
                <c:pt idx="223">
                  <c:v>2002.2999999999797</c:v>
                </c:pt>
                <c:pt idx="224">
                  <c:v>2002.3999999999796</c:v>
                </c:pt>
                <c:pt idx="225">
                  <c:v>2002.4999999999795</c:v>
                </c:pt>
                <c:pt idx="226">
                  <c:v>2002.5999999999794</c:v>
                </c:pt>
                <c:pt idx="227">
                  <c:v>2002.6999999999794</c:v>
                </c:pt>
                <c:pt idx="228">
                  <c:v>2002.7999999999793</c:v>
                </c:pt>
                <c:pt idx="229">
                  <c:v>2002.8999999999792</c:v>
                </c:pt>
                <c:pt idx="230">
                  <c:v>2002.999999999979</c:v>
                </c:pt>
                <c:pt idx="231">
                  <c:v>2003.099999999979</c:v>
                </c:pt>
                <c:pt idx="232">
                  <c:v>2003.199999999979</c:v>
                </c:pt>
                <c:pt idx="233">
                  <c:v>2003.2999999999788</c:v>
                </c:pt>
                <c:pt idx="234">
                  <c:v>2003.3999999999787</c:v>
                </c:pt>
                <c:pt idx="235">
                  <c:v>2003.4999999999786</c:v>
                </c:pt>
                <c:pt idx="236">
                  <c:v>2003.5999999999785</c:v>
                </c:pt>
                <c:pt idx="237">
                  <c:v>2003.6999999999784</c:v>
                </c:pt>
                <c:pt idx="238">
                  <c:v>2003.7999999999784</c:v>
                </c:pt>
                <c:pt idx="239">
                  <c:v>2003.8999999999783</c:v>
                </c:pt>
                <c:pt idx="240">
                  <c:v>2003.9999999999782</c:v>
                </c:pt>
                <c:pt idx="241">
                  <c:v>2004.099999999978</c:v>
                </c:pt>
                <c:pt idx="242">
                  <c:v>2004.199999999978</c:v>
                </c:pt>
                <c:pt idx="243">
                  <c:v>2004.299999999978</c:v>
                </c:pt>
                <c:pt idx="244">
                  <c:v>2004.3999999999778</c:v>
                </c:pt>
                <c:pt idx="245">
                  <c:v>2004.4999999999777</c:v>
                </c:pt>
                <c:pt idx="246">
                  <c:v>2004.5999999999776</c:v>
                </c:pt>
                <c:pt idx="247">
                  <c:v>2004.6999999999775</c:v>
                </c:pt>
                <c:pt idx="248">
                  <c:v>2004.7999999999774</c:v>
                </c:pt>
                <c:pt idx="249">
                  <c:v>2004.8999999999774</c:v>
                </c:pt>
                <c:pt idx="250">
                  <c:v>2004.9999999999773</c:v>
                </c:pt>
                <c:pt idx="251">
                  <c:v>2005.0999999999772</c:v>
                </c:pt>
                <c:pt idx="252">
                  <c:v>2005.199999999977</c:v>
                </c:pt>
                <c:pt idx="253">
                  <c:v>2005.299999999977</c:v>
                </c:pt>
                <c:pt idx="254">
                  <c:v>2005.399999999977</c:v>
                </c:pt>
                <c:pt idx="255">
                  <c:v>2005.4999999999768</c:v>
                </c:pt>
                <c:pt idx="256">
                  <c:v>2005.5999999999767</c:v>
                </c:pt>
                <c:pt idx="257">
                  <c:v>2005.6999999999766</c:v>
                </c:pt>
                <c:pt idx="258">
                  <c:v>2005.7999999999765</c:v>
                </c:pt>
                <c:pt idx="259">
                  <c:v>2005.8999999999764</c:v>
                </c:pt>
                <c:pt idx="260">
                  <c:v>2005.9999999999764</c:v>
                </c:pt>
                <c:pt idx="261">
                  <c:v>2006.0999999999763</c:v>
                </c:pt>
                <c:pt idx="262">
                  <c:v>2006.1999999999762</c:v>
                </c:pt>
                <c:pt idx="263">
                  <c:v>2006.299999999976</c:v>
                </c:pt>
                <c:pt idx="264">
                  <c:v>2006.399999999976</c:v>
                </c:pt>
                <c:pt idx="265">
                  <c:v>2006.499999999976</c:v>
                </c:pt>
                <c:pt idx="266">
                  <c:v>2006.5999999999758</c:v>
                </c:pt>
                <c:pt idx="267">
                  <c:v>2006.6999999999757</c:v>
                </c:pt>
                <c:pt idx="268">
                  <c:v>2006.7999999999756</c:v>
                </c:pt>
                <c:pt idx="269">
                  <c:v>2006.8999999999755</c:v>
                </c:pt>
                <c:pt idx="270">
                  <c:v>2006.9999999999754</c:v>
                </c:pt>
                <c:pt idx="271">
                  <c:v>2007.0999999999754</c:v>
                </c:pt>
                <c:pt idx="272">
                  <c:v>2007.1999999999753</c:v>
                </c:pt>
                <c:pt idx="273">
                  <c:v>2007.2999999999752</c:v>
                </c:pt>
                <c:pt idx="274">
                  <c:v>2007.399999999975</c:v>
                </c:pt>
                <c:pt idx="275">
                  <c:v>2007.499999999975</c:v>
                </c:pt>
                <c:pt idx="276">
                  <c:v>2007.599999999975</c:v>
                </c:pt>
                <c:pt idx="277">
                  <c:v>2007.6999999999748</c:v>
                </c:pt>
                <c:pt idx="278">
                  <c:v>2007.7999999999747</c:v>
                </c:pt>
                <c:pt idx="279">
                  <c:v>2007.8999999999746</c:v>
                </c:pt>
                <c:pt idx="280">
                  <c:v>2007.9999999999745</c:v>
                </c:pt>
                <c:pt idx="281">
                  <c:v>2008.0999999999744</c:v>
                </c:pt>
                <c:pt idx="282">
                  <c:v>2008.1999999999744</c:v>
                </c:pt>
                <c:pt idx="283">
                  <c:v>2008.2999999999743</c:v>
                </c:pt>
                <c:pt idx="284">
                  <c:v>2008.3999999999742</c:v>
                </c:pt>
                <c:pt idx="285">
                  <c:v>2008.499999999974</c:v>
                </c:pt>
                <c:pt idx="286">
                  <c:v>2008.599999999974</c:v>
                </c:pt>
                <c:pt idx="287">
                  <c:v>2008.699999999974</c:v>
                </c:pt>
                <c:pt idx="288">
                  <c:v>2008.7999999999738</c:v>
                </c:pt>
                <c:pt idx="289">
                  <c:v>2008.8999999999737</c:v>
                </c:pt>
                <c:pt idx="290">
                  <c:v>2008.9999999999736</c:v>
                </c:pt>
                <c:pt idx="291">
                  <c:v>2009.0999999999735</c:v>
                </c:pt>
                <c:pt idx="292">
                  <c:v>2009.1999999999734</c:v>
                </c:pt>
                <c:pt idx="293">
                  <c:v>2009.2999999999734</c:v>
                </c:pt>
                <c:pt idx="294">
                  <c:v>2009.3999999999733</c:v>
                </c:pt>
                <c:pt idx="295">
                  <c:v>2009.4999999999732</c:v>
                </c:pt>
                <c:pt idx="296">
                  <c:v>2009.599999999973</c:v>
                </c:pt>
                <c:pt idx="297">
                  <c:v>2009.699999999973</c:v>
                </c:pt>
                <c:pt idx="298">
                  <c:v>2009.799999999973</c:v>
                </c:pt>
                <c:pt idx="299">
                  <c:v>2009.8999999999728</c:v>
                </c:pt>
                <c:pt idx="300">
                  <c:v>2009.9999999999727</c:v>
                </c:pt>
                <c:pt idx="301">
                  <c:v>2010.0999999999726</c:v>
                </c:pt>
                <c:pt idx="302">
                  <c:v>2010.1999999999725</c:v>
                </c:pt>
                <c:pt idx="303">
                  <c:v>2010.2999999999724</c:v>
                </c:pt>
                <c:pt idx="304">
                  <c:v>2010.3999999999724</c:v>
                </c:pt>
                <c:pt idx="305">
                  <c:v>2010.4999999999723</c:v>
                </c:pt>
                <c:pt idx="306">
                  <c:v>2010.5999999999722</c:v>
                </c:pt>
                <c:pt idx="307">
                  <c:v>2010.699999999972</c:v>
                </c:pt>
                <c:pt idx="308">
                  <c:v>2010.799999999972</c:v>
                </c:pt>
                <c:pt idx="309">
                  <c:v>2010.899999999972</c:v>
                </c:pt>
                <c:pt idx="310">
                  <c:v>2010.9999999999718</c:v>
                </c:pt>
                <c:pt idx="311">
                  <c:v>2011.0999999999717</c:v>
                </c:pt>
                <c:pt idx="312">
                  <c:v>2011.1999999999716</c:v>
                </c:pt>
                <c:pt idx="313">
                  <c:v>2011.2999999999715</c:v>
                </c:pt>
                <c:pt idx="314">
                  <c:v>2011.3999999999714</c:v>
                </c:pt>
                <c:pt idx="315">
                  <c:v>2011.4999999999714</c:v>
                </c:pt>
                <c:pt idx="316">
                  <c:v>2011.5999999999713</c:v>
                </c:pt>
                <c:pt idx="317">
                  <c:v>2011.6999999999712</c:v>
                </c:pt>
                <c:pt idx="318">
                  <c:v>2011.799999999971</c:v>
                </c:pt>
                <c:pt idx="319">
                  <c:v>2011.899999999971</c:v>
                </c:pt>
                <c:pt idx="320">
                  <c:v>2011.999999999971</c:v>
                </c:pt>
                <c:pt idx="321">
                  <c:v>2012.0999999999708</c:v>
                </c:pt>
                <c:pt idx="322">
                  <c:v>2012.1999999999707</c:v>
                </c:pt>
                <c:pt idx="323">
                  <c:v>2012.2999999999706</c:v>
                </c:pt>
                <c:pt idx="324">
                  <c:v>2012.3999999999705</c:v>
                </c:pt>
                <c:pt idx="325">
                  <c:v>2012.4999999999704</c:v>
                </c:pt>
                <c:pt idx="326">
                  <c:v>2012.5999999999704</c:v>
                </c:pt>
                <c:pt idx="327">
                  <c:v>2012.6999999999703</c:v>
                </c:pt>
                <c:pt idx="328">
                  <c:v>2012.7999999999702</c:v>
                </c:pt>
                <c:pt idx="329">
                  <c:v>2012.89999999997</c:v>
                </c:pt>
                <c:pt idx="330">
                  <c:v>2012.99999999997</c:v>
                </c:pt>
                <c:pt idx="331">
                  <c:v>2013.09999999997</c:v>
                </c:pt>
                <c:pt idx="332">
                  <c:v>2013.1999999999698</c:v>
                </c:pt>
                <c:pt idx="333">
                  <c:v>2013.2999999999697</c:v>
                </c:pt>
                <c:pt idx="334">
                  <c:v>2013.3999999999696</c:v>
                </c:pt>
                <c:pt idx="335">
                  <c:v>2013.4999999999695</c:v>
                </c:pt>
                <c:pt idx="336">
                  <c:v>2013.5999999999694</c:v>
                </c:pt>
                <c:pt idx="337">
                  <c:v>2013.6999999999694</c:v>
                </c:pt>
                <c:pt idx="338">
                  <c:v>2013.7999999999693</c:v>
                </c:pt>
                <c:pt idx="339">
                  <c:v>2013.8999999999692</c:v>
                </c:pt>
                <c:pt idx="340">
                  <c:v>2013.999999999969</c:v>
                </c:pt>
                <c:pt idx="341">
                  <c:v>2014.099999999969</c:v>
                </c:pt>
                <c:pt idx="342">
                  <c:v>2014.199999999969</c:v>
                </c:pt>
                <c:pt idx="343">
                  <c:v>2014.2999999999688</c:v>
                </c:pt>
                <c:pt idx="344">
                  <c:v>2014.3999999999687</c:v>
                </c:pt>
                <c:pt idx="345">
                  <c:v>2014.4999999999686</c:v>
                </c:pt>
                <c:pt idx="346">
                  <c:v>2014.5999999999685</c:v>
                </c:pt>
                <c:pt idx="347">
                  <c:v>2014.6999999999684</c:v>
                </c:pt>
                <c:pt idx="348">
                  <c:v>2014.7999999999683</c:v>
                </c:pt>
                <c:pt idx="349">
                  <c:v>2014.8999999999683</c:v>
                </c:pt>
                <c:pt idx="350">
                  <c:v>2014.9999999999682</c:v>
                </c:pt>
                <c:pt idx="351">
                  <c:v>2015.099999999968</c:v>
                </c:pt>
                <c:pt idx="352">
                  <c:v>2015.199999999968</c:v>
                </c:pt>
                <c:pt idx="353">
                  <c:v>2015.299999999968</c:v>
                </c:pt>
                <c:pt idx="354">
                  <c:v>2015.3999999999678</c:v>
                </c:pt>
                <c:pt idx="355">
                  <c:v>2015.4999999999677</c:v>
                </c:pt>
                <c:pt idx="356">
                  <c:v>2015.5999999999676</c:v>
                </c:pt>
                <c:pt idx="357">
                  <c:v>2015.6999999999675</c:v>
                </c:pt>
                <c:pt idx="358">
                  <c:v>2015.7999999999674</c:v>
                </c:pt>
                <c:pt idx="359">
                  <c:v>2015.8999999999673</c:v>
                </c:pt>
                <c:pt idx="360">
                  <c:v>2015.9999999999673</c:v>
                </c:pt>
                <c:pt idx="361">
                  <c:v>2016.0999999999672</c:v>
                </c:pt>
                <c:pt idx="362">
                  <c:v>2016.199999999967</c:v>
                </c:pt>
                <c:pt idx="363">
                  <c:v>2016.299999999967</c:v>
                </c:pt>
                <c:pt idx="364">
                  <c:v>2016.399999999967</c:v>
                </c:pt>
                <c:pt idx="365">
                  <c:v>2016.4999999999668</c:v>
                </c:pt>
                <c:pt idx="366">
                  <c:v>2016.5999999999667</c:v>
                </c:pt>
                <c:pt idx="367">
                  <c:v>2016.6999999999666</c:v>
                </c:pt>
                <c:pt idx="368">
                  <c:v>2016.7999999999665</c:v>
                </c:pt>
                <c:pt idx="369">
                  <c:v>2016.8999999999664</c:v>
                </c:pt>
                <c:pt idx="370">
                  <c:v>2016.9999999999663</c:v>
                </c:pt>
                <c:pt idx="371">
                  <c:v>2017.0999999999663</c:v>
                </c:pt>
                <c:pt idx="372">
                  <c:v>2017.1999999999662</c:v>
                </c:pt>
                <c:pt idx="373">
                  <c:v>2017.299999999966</c:v>
                </c:pt>
                <c:pt idx="374">
                  <c:v>2017.399999999966</c:v>
                </c:pt>
                <c:pt idx="375">
                  <c:v>2017.499999999966</c:v>
                </c:pt>
                <c:pt idx="376">
                  <c:v>2017.5999999999658</c:v>
                </c:pt>
                <c:pt idx="377">
                  <c:v>2017.6999999999657</c:v>
                </c:pt>
                <c:pt idx="378">
                  <c:v>2017.7999999999656</c:v>
                </c:pt>
                <c:pt idx="379">
                  <c:v>2017.8999999999655</c:v>
                </c:pt>
                <c:pt idx="380">
                  <c:v>2017.9999999999654</c:v>
                </c:pt>
                <c:pt idx="381">
                  <c:v>2018.0999999999653</c:v>
                </c:pt>
                <c:pt idx="382">
                  <c:v>2018.1999999999653</c:v>
                </c:pt>
                <c:pt idx="383">
                  <c:v>2018.2999999999652</c:v>
                </c:pt>
                <c:pt idx="384">
                  <c:v>2018.399999999965</c:v>
                </c:pt>
                <c:pt idx="385">
                  <c:v>2018.499999999965</c:v>
                </c:pt>
                <c:pt idx="386">
                  <c:v>2018.599999999965</c:v>
                </c:pt>
                <c:pt idx="387">
                  <c:v>2018.6999999999648</c:v>
                </c:pt>
                <c:pt idx="388">
                  <c:v>2018.7999999999647</c:v>
                </c:pt>
                <c:pt idx="389">
                  <c:v>2018.8999999999646</c:v>
                </c:pt>
                <c:pt idx="390">
                  <c:v>2018.9999999999645</c:v>
                </c:pt>
                <c:pt idx="391">
                  <c:v>2019.0999999999644</c:v>
                </c:pt>
                <c:pt idx="392">
                  <c:v>2019.1999999999643</c:v>
                </c:pt>
                <c:pt idx="393">
                  <c:v>2019.2999999999643</c:v>
                </c:pt>
                <c:pt idx="394">
                  <c:v>2019.3999999999642</c:v>
                </c:pt>
                <c:pt idx="395">
                  <c:v>2019.499999999964</c:v>
                </c:pt>
                <c:pt idx="396">
                  <c:v>2019.599999999964</c:v>
                </c:pt>
                <c:pt idx="397">
                  <c:v>2019.699999999964</c:v>
                </c:pt>
                <c:pt idx="398">
                  <c:v>2019.7999999999638</c:v>
                </c:pt>
                <c:pt idx="399">
                  <c:v>2019.8999999999637</c:v>
                </c:pt>
                <c:pt idx="400">
                  <c:v>2019.9999999999636</c:v>
                </c:pt>
                <c:pt idx="401">
                  <c:v>2020.0999999999635</c:v>
                </c:pt>
                <c:pt idx="402">
                  <c:v>2020.1999999999634</c:v>
                </c:pt>
                <c:pt idx="403">
                  <c:v>2020.2999999999633</c:v>
                </c:pt>
                <c:pt idx="404">
                  <c:v>2020.3999999999633</c:v>
                </c:pt>
                <c:pt idx="405">
                  <c:v>2020.4999999999632</c:v>
                </c:pt>
                <c:pt idx="406">
                  <c:v>2020.599999999963</c:v>
                </c:pt>
                <c:pt idx="407">
                  <c:v>2020.699999999963</c:v>
                </c:pt>
                <c:pt idx="408">
                  <c:v>2020.799999999963</c:v>
                </c:pt>
                <c:pt idx="409">
                  <c:v>2020.8999999999628</c:v>
                </c:pt>
                <c:pt idx="410">
                  <c:v>2020.9999999999627</c:v>
                </c:pt>
                <c:pt idx="411">
                  <c:v>2021.0999999999626</c:v>
                </c:pt>
                <c:pt idx="412">
                  <c:v>2021.1999999999625</c:v>
                </c:pt>
                <c:pt idx="413">
                  <c:v>2021.2999999999624</c:v>
                </c:pt>
                <c:pt idx="414">
                  <c:v>2021.3999999999623</c:v>
                </c:pt>
                <c:pt idx="415">
                  <c:v>2021.4999999999623</c:v>
                </c:pt>
                <c:pt idx="416">
                  <c:v>2021.5999999999622</c:v>
                </c:pt>
                <c:pt idx="417">
                  <c:v>2021.699999999962</c:v>
                </c:pt>
                <c:pt idx="418">
                  <c:v>2021.799999999962</c:v>
                </c:pt>
                <c:pt idx="419">
                  <c:v>2021.899999999962</c:v>
                </c:pt>
                <c:pt idx="420">
                  <c:v>2021.9999999999618</c:v>
                </c:pt>
                <c:pt idx="421">
                  <c:v>2022.0999999999617</c:v>
                </c:pt>
                <c:pt idx="422">
                  <c:v>2022.1999999999616</c:v>
                </c:pt>
                <c:pt idx="423">
                  <c:v>2022.2999999999615</c:v>
                </c:pt>
                <c:pt idx="424">
                  <c:v>2022.3999999999614</c:v>
                </c:pt>
                <c:pt idx="425">
                  <c:v>2022.4999999999613</c:v>
                </c:pt>
                <c:pt idx="426">
                  <c:v>2022.5999999999613</c:v>
                </c:pt>
                <c:pt idx="427">
                  <c:v>2022.6999999999612</c:v>
                </c:pt>
                <c:pt idx="428">
                  <c:v>2022.799999999961</c:v>
                </c:pt>
                <c:pt idx="429">
                  <c:v>2022.899999999961</c:v>
                </c:pt>
                <c:pt idx="430">
                  <c:v>2022.999999999961</c:v>
                </c:pt>
                <c:pt idx="431">
                  <c:v>2023.0999999999608</c:v>
                </c:pt>
                <c:pt idx="432">
                  <c:v>2023.1999999999607</c:v>
                </c:pt>
                <c:pt idx="433">
                  <c:v>2023.2999999999606</c:v>
                </c:pt>
                <c:pt idx="434">
                  <c:v>2023.3999999999605</c:v>
                </c:pt>
                <c:pt idx="435">
                  <c:v>2023.4999999999604</c:v>
                </c:pt>
                <c:pt idx="436">
                  <c:v>2023.5999999999603</c:v>
                </c:pt>
                <c:pt idx="437">
                  <c:v>2023.6999999999603</c:v>
                </c:pt>
                <c:pt idx="438">
                  <c:v>2023.7999999999602</c:v>
                </c:pt>
                <c:pt idx="439">
                  <c:v>2023.89999999996</c:v>
                </c:pt>
                <c:pt idx="440">
                  <c:v>2023.99999999996</c:v>
                </c:pt>
                <c:pt idx="441">
                  <c:v>2024.09999999996</c:v>
                </c:pt>
                <c:pt idx="442">
                  <c:v>2024.1999999999598</c:v>
                </c:pt>
                <c:pt idx="443">
                  <c:v>2024.2999999999597</c:v>
                </c:pt>
                <c:pt idx="444">
                  <c:v>2024.3999999999596</c:v>
                </c:pt>
                <c:pt idx="445">
                  <c:v>2024.4999999999595</c:v>
                </c:pt>
                <c:pt idx="446">
                  <c:v>2024.5999999999594</c:v>
                </c:pt>
                <c:pt idx="447">
                  <c:v>2024.6999999999593</c:v>
                </c:pt>
                <c:pt idx="448">
                  <c:v>2024.7999999999593</c:v>
                </c:pt>
                <c:pt idx="449">
                  <c:v>2024.8999999999592</c:v>
                </c:pt>
                <c:pt idx="450">
                  <c:v>2024.999999999959</c:v>
                </c:pt>
                <c:pt idx="451">
                  <c:v>2025.099999999959</c:v>
                </c:pt>
                <c:pt idx="452">
                  <c:v>2025.199999999959</c:v>
                </c:pt>
                <c:pt idx="453">
                  <c:v>2025.2999999999588</c:v>
                </c:pt>
                <c:pt idx="454">
                  <c:v>2025.3999999999587</c:v>
                </c:pt>
                <c:pt idx="455">
                  <c:v>2025.4999999999586</c:v>
                </c:pt>
                <c:pt idx="456">
                  <c:v>2025.5999999999585</c:v>
                </c:pt>
                <c:pt idx="457">
                  <c:v>2025.6999999999584</c:v>
                </c:pt>
                <c:pt idx="458">
                  <c:v>2025.7999999999583</c:v>
                </c:pt>
                <c:pt idx="459">
                  <c:v>2025.8999999999583</c:v>
                </c:pt>
                <c:pt idx="460">
                  <c:v>2025.9999999999582</c:v>
                </c:pt>
                <c:pt idx="461">
                  <c:v>2026.099999999958</c:v>
                </c:pt>
                <c:pt idx="462">
                  <c:v>2026.199999999958</c:v>
                </c:pt>
                <c:pt idx="463">
                  <c:v>2026.299999999958</c:v>
                </c:pt>
                <c:pt idx="464">
                  <c:v>2026.3999999999578</c:v>
                </c:pt>
                <c:pt idx="465">
                  <c:v>2026.4999999999577</c:v>
                </c:pt>
                <c:pt idx="466">
                  <c:v>2026.5999999999576</c:v>
                </c:pt>
                <c:pt idx="467">
                  <c:v>2026.6999999999575</c:v>
                </c:pt>
                <c:pt idx="468">
                  <c:v>2026.7999999999574</c:v>
                </c:pt>
                <c:pt idx="469">
                  <c:v>2026.8999999999573</c:v>
                </c:pt>
                <c:pt idx="470">
                  <c:v>2026.9999999999573</c:v>
                </c:pt>
                <c:pt idx="471">
                  <c:v>2027.0999999999572</c:v>
                </c:pt>
                <c:pt idx="472">
                  <c:v>2027.199999999957</c:v>
                </c:pt>
                <c:pt idx="473">
                  <c:v>2027.299999999957</c:v>
                </c:pt>
                <c:pt idx="474">
                  <c:v>2027.399999999957</c:v>
                </c:pt>
                <c:pt idx="475">
                  <c:v>2027.4999999999568</c:v>
                </c:pt>
                <c:pt idx="476">
                  <c:v>2027.5999999999567</c:v>
                </c:pt>
                <c:pt idx="477">
                  <c:v>2027.6999999999566</c:v>
                </c:pt>
                <c:pt idx="478">
                  <c:v>2027.7999999999565</c:v>
                </c:pt>
                <c:pt idx="479">
                  <c:v>2027.8999999999564</c:v>
                </c:pt>
                <c:pt idx="480">
                  <c:v>2027.9999999999563</c:v>
                </c:pt>
                <c:pt idx="481">
                  <c:v>2028.0999999999563</c:v>
                </c:pt>
                <c:pt idx="482">
                  <c:v>2028.1999999999562</c:v>
                </c:pt>
                <c:pt idx="483">
                  <c:v>2028.299999999956</c:v>
                </c:pt>
                <c:pt idx="484">
                  <c:v>2028.399999999956</c:v>
                </c:pt>
                <c:pt idx="485">
                  <c:v>2028.499999999956</c:v>
                </c:pt>
                <c:pt idx="486">
                  <c:v>2028.5999999999558</c:v>
                </c:pt>
                <c:pt idx="487">
                  <c:v>2028.6999999999557</c:v>
                </c:pt>
                <c:pt idx="488">
                  <c:v>2028.7999999999556</c:v>
                </c:pt>
                <c:pt idx="489">
                  <c:v>2028.8999999999555</c:v>
                </c:pt>
                <c:pt idx="490">
                  <c:v>2028.9999999999554</c:v>
                </c:pt>
                <c:pt idx="491">
                  <c:v>2029.0999999999553</c:v>
                </c:pt>
                <c:pt idx="492">
                  <c:v>2029.1999999999553</c:v>
                </c:pt>
                <c:pt idx="493">
                  <c:v>2029.2999999999552</c:v>
                </c:pt>
                <c:pt idx="494">
                  <c:v>2029.399999999955</c:v>
                </c:pt>
                <c:pt idx="495">
                  <c:v>2029.499999999955</c:v>
                </c:pt>
                <c:pt idx="496">
                  <c:v>2029.599999999955</c:v>
                </c:pt>
                <c:pt idx="497">
                  <c:v>2029.6999999999548</c:v>
                </c:pt>
                <c:pt idx="498">
                  <c:v>2029.7999999999547</c:v>
                </c:pt>
                <c:pt idx="499">
                  <c:v>2029.8999999999546</c:v>
                </c:pt>
                <c:pt idx="500">
                  <c:v>2029.9999999999545</c:v>
                </c:pt>
              </c:numCache>
            </c:numRef>
          </c:cat>
          <c:val>
            <c:numRef>
              <c:f>'EPP model'!$U$3:$U$503</c:f>
              <c:numCache>
                <c:ptCount val="501"/>
                <c:pt idx="0">
                  <c:v>0</c:v>
                </c:pt>
                <c:pt idx="1">
                  <c:v>0.0010890861219030124</c:v>
                </c:pt>
                <c:pt idx="2">
                  <c:v>0.0011228730181160407</c:v>
                </c:pt>
                <c:pt idx="3">
                  <c:v>0.0011577006458220469</c:v>
                </c:pt>
                <c:pt idx="4">
                  <c:v>0.0011936007764160959</c:v>
                </c:pt>
                <c:pt idx="5">
                  <c:v>0.0012306061395212394</c:v>
                </c:pt>
                <c:pt idx="6">
                  <c:v>0.0012687504513693671</c:v>
                </c:pt>
                <c:pt idx="7">
                  <c:v>0.0013080684439972523</c:v>
                </c:pt>
                <c:pt idx="8">
                  <c:v>0.0013485958952798493</c:v>
                </c:pt>
                <c:pt idx="9">
                  <c:v>0.0013903696598234145</c:v>
                </c:pt>
                <c:pt idx="10">
                  <c:v>0.001433427700741552</c:v>
                </c:pt>
                <c:pt idx="11">
                  <c:v>0.0014778091223378138</c:v>
                </c:pt>
                <c:pt idx="12">
                  <c:v>0.0015235542037190274</c:v>
                </c:pt>
                <c:pt idx="13">
                  <c:v>0.0015594386039365859</c:v>
                </c:pt>
                <c:pt idx="14">
                  <c:v>0.0016073235809755527</c:v>
                </c:pt>
                <c:pt idx="15">
                  <c:v>0.0016566673041986256</c:v>
                </c:pt>
                <c:pt idx="16">
                  <c:v>0.0017075137452579733</c:v>
                </c:pt>
                <c:pt idx="17">
                  <c:v>0.0017599081828944272</c:v>
                </c:pt>
                <c:pt idx="18">
                  <c:v>0.001813897240790143</c:v>
                </c:pt>
                <c:pt idx="19">
                  <c:v>0.0018695289264841115</c:v>
                </c:pt>
                <c:pt idx="20">
                  <c:v>0.001926852671376651</c:v>
                </c:pt>
                <c:pt idx="21">
                  <c:v>0.0019859193718496145</c:v>
                </c:pt>
                <c:pt idx="22">
                  <c:v>0.0020467814315296737</c:v>
                </c:pt>
                <c:pt idx="23">
                  <c:v>0.002109492804722626</c:v>
                </c:pt>
                <c:pt idx="24">
                  <c:v>0.002150883568536075</c:v>
                </c:pt>
                <c:pt idx="25">
                  <c:v>0.002215993645052852</c:v>
                </c:pt>
                <c:pt idx="26">
                  <c:v>0.002283060415864231</c:v>
                </c:pt>
                <c:pt idx="27">
                  <c:v>0.0023521382921588892</c:v>
                </c:pt>
                <c:pt idx="28">
                  <c:v>0.002423286804617298</c:v>
                </c:pt>
                <c:pt idx="29">
                  <c:v>0.0024965672167032308</c:v>
                </c:pt>
                <c:pt idx="30">
                  <c:v>0.002572042573184749</c:v>
                </c:pt>
                <c:pt idx="31">
                  <c:v>0.0026497777499784702</c:v>
                </c:pt>
                <c:pt idx="32">
                  <c:v>0.0027298395053436462</c:v>
                </c:pt>
                <c:pt idx="33">
                  <c:v>0.0028122965324533945</c:v>
                </c:pt>
                <c:pt idx="34">
                  <c:v>0.0028972195133711706</c:v>
                </c:pt>
                <c:pt idx="35">
                  <c:v>0.002948795340784994</c:v>
                </c:pt>
                <c:pt idx="36">
                  <c:v>0.0030366053050194038</c:v>
                </c:pt>
                <c:pt idx="37">
                  <c:v>0.003127016811096396</c:v>
                </c:pt>
                <c:pt idx="38">
                  <c:v>0.0032200907174020506</c:v>
                </c:pt>
                <c:pt idx="39">
                  <c:v>0.0033159041599477366</c:v>
                </c:pt>
                <c:pt idx="40">
                  <c:v>0.003414536465608593</c:v>
                </c:pt>
                <c:pt idx="41">
                  <c:v>0.003516069209602031</c:v>
                </c:pt>
                <c:pt idx="42">
                  <c:v>0.003620586275643208</c:v>
                </c:pt>
                <c:pt idx="43">
                  <c:v>0.003728173917682634</c:v>
                </c:pt>
                <c:pt idx="44">
                  <c:v>0.003838920823245343</c:v>
                </c:pt>
                <c:pt idx="45">
                  <c:v>0.003952918178392453</c:v>
                </c:pt>
                <c:pt idx="46">
                  <c:v>0.004021008575914845</c:v>
                </c:pt>
                <c:pt idx="47">
                  <c:v>0.0041386869477618915</c:v>
                </c:pt>
                <c:pt idx="48">
                  <c:v>0.004259802519199459</c:v>
                </c:pt>
                <c:pt idx="49">
                  <c:v>0.004384415125851977</c:v>
                </c:pt>
                <c:pt idx="50">
                  <c:v>0.004512623649978721</c:v>
                </c:pt>
                <c:pt idx="51">
                  <c:v>0.0046445297069997</c:v>
                </c:pt>
                <c:pt idx="52">
                  <c:v>0.004780237707152026</c:v>
                </c:pt>
                <c:pt idx="53">
                  <c:v>0.004919854925839038</c:v>
                </c:pt>
                <c:pt idx="54">
                  <c:v>0.005063491575795978</c:v>
                </c:pt>
                <c:pt idx="55">
                  <c:v>0.005211260881067041</c:v>
                </c:pt>
                <c:pt idx="56">
                  <c:v>0.005363279152792365</c:v>
                </c:pt>
                <c:pt idx="57">
                  <c:v>0.005456343028831265</c:v>
                </c:pt>
                <c:pt idx="58">
                  <c:v>0.005613237703080857</c:v>
                </c:pt>
                <c:pt idx="59">
                  <c:v>0.005774650129770697</c:v>
                </c:pt>
                <c:pt idx="60">
                  <c:v>0.005940627871452065</c:v>
                </c:pt>
                <c:pt idx="61">
                  <c:v>0.006111296588384168</c:v>
                </c:pt>
                <c:pt idx="62">
                  <c:v>0.006286785316097201</c:v>
                </c:pt>
                <c:pt idx="63">
                  <c:v>0.006467226517768271</c:v>
                </c:pt>
                <c:pt idx="64">
                  <c:v>0.00665275616344902</c:v>
                </c:pt>
                <c:pt idx="65">
                  <c:v>0.006843513811369856</c:v>
                </c:pt>
                <c:pt idx="66">
                  <c:v>0.007039642691254672</c:v>
                </c:pt>
                <c:pt idx="67">
                  <c:v>0.0072412897895928535</c:v>
                </c:pt>
                <c:pt idx="68">
                  <c:v>0.007370506711129727</c:v>
                </c:pt>
                <c:pt idx="69">
                  <c:v>0.0075787443292799845</c:v>
                </c:pt>
                <c:pt idx="70">
                  <c:v>0.007792890546670848</c:v>
                </c:pt>
                <c:pt idx="71">
                  <c:v>0.008012965268467063</c:v>
                </c:pt>
                <c:pt idx="72">
                  <c:v>0.008239126895140099</c:v>
                </c:pt>
                <c:pt idx="73">
                  <c:v>0.008471537958888874</c:v>
                </c:pt>
                <c:pt idx="74">
                  <c:v>0.008710365137879206</c:v>
                </c:pt>
                <c:pt idx="75">
                  <c:v>0.008955779340768107</c:v>
                </c:pt>
                <c:pt idx="76">
                  <c:v>0.009207955793661286</c:v>
                </c:pt>
                <c:pt idx="77">
                  <c:v>0.009467074129299721</c:v>
                </c:pt>
                <c:pt idx="78">
                  <c:v>0.009733318478311586</c:v>
                </c:pt>
                <c:pt idx="79">
                  <c:v>0.009913302095442725</c:v>
                </c:pt>
                <c:pt idx="80">
                  <c:v>0.010188509859584038</c:v>
                </c:pt>
                <c:pt idx="81">
                  <c:v>0.010471404322275365</c:v>
                </c:pt>
                <c:pt idx="82">
                  <c:v>0.010761957740379751</c:v>
                </c:pt>
                <c:pt idx="83">
                  <c:v>0.01106036804607059</c:v>
                </c:pt>
                <c:pt idx="84">
                  <c:v>0.011366838181825252</c:v>
                </c:pt>
                <c:pt idx="85">
                  <c:v>0.011681576022899575</c:v>
                </c:pt>
                <c:pt idx="86">
                  <c:v>0.01200479445949447</c:v>
                </c:pt>
                <c:pt idx="87">
                  <c:v>0.012336711481988054</c:v>
                </c:pt>
                <c:pt idx="88">
                  <c:v>0.01267755026872957</c:v>
                </c:pt>
                <c:pt idx="89">
                  <c:v>0.013027539276006224</c:v>
                </c:pt>
                <c:pt idx="90">
                  <c:v>0.013277168985159328</c:v>
                </c:pt>
                <c:pt idx="91">
                  <c:v>0.013639313240370122</c:v>
                </c:pt>
                <c:pt idx="92">
                  <c:v>0.01401139641315025</c:v>
                </c:pt>
                <c:pt idx="93">
                  <c:v>0.014393317805238334</c:v>
                </c:pt>
                <c:pt idx="94">
                  <c:v>0.01478532213067126</c:v>
                </c:pt>
                <c:pt idx="95">
                  <c:v>0.015187660105422607</c:v>
                </c:pt>
                <c:pt idx="96">
                  <c:v>0.015600588187062388</c:v>
                </c:pt>
                <c:pt idx="97">
                  <c:v>0.016024368639907968</c:v>
                </c:pt>
                <c:pt idx="98">
                  <c:v>0.01645926960456195</c:v>
                </c:pt>
                <c:pt idx="99">
                  <c:v>0.01690556517070351</c:v>
                </c:pt>
                <c:pt idx="100">
                  <c:v>0.01736353545229709</c:v>
                </c:pt>
                <c:pt idx="101">
                  <c:v>0.01770687552199605</c:v>
                </c:pt>
                <c:pt idx="102">
                  <c:v>0.01818118302156468</c:v>
                </c:pt>
                <c:pt idx="103">
                  <c:v>0.018668247370199578</c:v>
                </c:pt>
                <c:pt idx="104">
                  <c:v>0.019167863157071214</c:v>
                </c:pt>
                <c:pt idx="105">
                  <c:v>0.01968032874595974</c:v>
                </c:pt>
                <c:pt idx="106">
                  <c:v>0.020205949565831376</c:v>
                </c:pt>
                <c:pt idx="107">
                  <c:v>0.020745037522501966</c:v>
                </c:pt>
                <c:pt idx="108">
                  <c:v>0.02129791102055311</c:v>
                </c:pt>
                <c:pt idx="109">
                  <c:v>0.02186489499255228</c:v>
                </c:pt>
                <c:pt idx="110">
                  <c:v>0.022446320933154053</c:v>
                </c:pt>
                <c:pt idx="111">
                  <c:v>0.023042526936371772</c:v>
                </c:pt>
                <c:pt idx="112">
                  <c:v>0.023509754206787088</c:v>
                </c:pt>
                <c:pt idx="113">
                  <c:v>0.024127631465685168</c:v>
                </c:pt>
                <c:pt idx="114">
                  <c:v>0.024761734340502734</c:v>
                </c:pt>
                <c:pt idx="115">
                  <c:v>0.02541171266183627</c:v>
                </c:pt>
                <c:pt idx="116">
                  <c:v>0.026077923327981794</c:v>
                </c:pt>
                <c:pt idx="117">
                  <c:v>0.026760731343106626</c:v>
                </c:pt>
                <c:pt idx="118">
                  <c:v>0.02746050867984594</c:v>
                </c:pt>
                <c:pt idx="119">
                  <c:v>0.028177634213459726</c:v>
                </c:pt>
                <c:pt idx="120">
                  <c:v>0.028912493669728163</c:v>
                </c:pt>
                <c:pt idx="121">
                  <c:v>0.02966547958157754</c:v>
                </c:pt>
                <c:pt idx="122">
                  <c:v>0.030436991251029555</c:v>
                </c:pt>
                <c:pt idx="123">
                  <c:v>0.03107992431770739</c:v>
                </c:pt>
                <c:pt idx="124">
                  <c:v>0.03188061735072387</c:v>
                </c:pt>
                <c:pt idx="125">
                  <c:v>0.032701750469507296</c:v>
                </c:pt>
                <c:pt idx="126">
                  <c:v>0.03354277944205084</c:v>
                </c:pt>
                <c:pt idx="127">
                  <c:v>0.03440412173669647</c:v>
                </c:pt>
                <c:pt idx="128">
                  <c:v>0.035286203734883594</c:v>
                </c:pt>
                <c:pt idx="129">
                  <c:v>0.03618945874031142</c:v>
                </c:pt>
                <c:pt idx="130">
                  <c:v>0.037114326769036865</c:v>
                </c:pt>
                <c:pt idx="131">
                  <c:v>0.038061254363760004</c:v>
                </c:pt>
                <c:pt idx="132">
                  <c:v>0.03903069442302677</c:v>
                </c:pt>
                <c:pt idx="133">
                  <c:v>0.040023106039277605</c:v>
                </c:pt>
                <c:pt idx="134">
                  <c:v>0.04088808601742145</c:v>
                </c:pt>
                <c:pt idx="135">
                  <c:v>0.041918597372767624</c:v>
                </c:pt>
                <c:pt idx="136">
                  <c:v>0.04297451403323513</c:v>
                </c:pt>
                <c:pt idx="137">
                  <c:v>0.044055042126645176</c:v>
                </c:pt>
                <c:pt idx="138">
                  <c:v>0.04516065316414654</c:v>
                </c:pt>
                <c:pt idx="139">
                  <c:v>0.04629182787411274</c:v>
                </c:pt>
                <c:pt idx="140">
                  <c:v>0.047449052922190836</c:v>
                </c:pt>
                <c:pt idx="141">
                  <c:v>0.048632820466205186</c:v>
                </c:pt>
                <c:pt idx="142">
                  <c:v>0.049843627755562725</c:v>
                </c:pt>
                <c:pt idx="143">
                  <c:v>0.05108197675823977</c:v>
                </c:pt>
                <c:pt idx="144">
                  <c:v>0.052348373804617335</c:v>
                </c:pt>
                <c:pt idx="145">
                  <c:v>0.053519994808584256</c:v>
                </c:pt>
                <c:pt idx="146">
                  <c:v>0.05483652263642509</c:v>
                </c:pt>
                <c:pt idx="147">
                  <c:v>0.056184131631884515</c:v>
                </c:pt>
                <c:pt idx="148">
                  <c:v>0.05756171624022981</c:v>
                </c:pt>
                <c:pt idx="149">
                  <c:v>0.05896978548399456</c:v>
                </c:pt>
                <c:pt idx="150">
                  <c:v>0.06040885663726362</c:v>
                </c:pt>
                <c:pt idx="151">
                  <c:v>0.0618800265952271</c:v>
                </c:pt>
                <c:pt idx="152">
                  <c:v>0.06338385604072617</c:v>
                </c:pt>
                <c:pt idx="153">
                  <c:v>0.06492090993190688</c:v>
                </c:pt>
                <c:pt idx="154">
                  <c:v>0.06649175616654988</c:v>
                </c:pt>
                <c:pt idx="155">
                  <c:v>0.06809696494574746</c:v>
                </c:pt>
                <c:pt idx="156">
                  <c:v>0.06964264966970467</c:v>
                </c:pt>
                <c:pt idx="157">
                  <c:v>0.07131260386362494</c:v>
                </c:pt>
                <c:pt idx="158">
                  <c:v>0.07302062385582123</c:v>
                </c:pt>
                <c:pt idx="159">
                  <c:v>0.07476528133455215</c:v>
                </c:pt>
                <c:pt idx="160">
                  <c:v>0.07654713707743274</c:v>
                </c:pt>
                <c:pt idx="161">
                  <c:v>0.07836675894208056</c:v>
                </c:pt>
                <c:pt idx="162">
                  <c:v>0.08022471445942511</c:v>
                </c:pt>
                <c:pt idx="163">
                  <c:v>0.0821215698018198</c:v>
                </c:pt>
                <c:pt idx="164">
                  <c:v>0.08405788881578898</c:v>
                </c:pt>
                <c:pt idx="165">
                  <c:v>0.08603423211198351</c:v>
                </c:pt>
                <c:pt idx="166">
                  <c:v>0.0880511561656792</c:v>
                </c:pt>
                <c:pt idx="167">
                  <c:v>0.09010921243928875</c:v>
                </c:pt>
                <c:pt idx="168">
                  <c:v>0.09220894650528497</c:v>
                </c:pt>
                <c:pt idx="169">
                  <c:v>0.09435348472086912</c:v>
                </c:pt>
                <c:pt idx="170">
                  <c:v>0.09654099009320026</c:v>
                </c:pt>
                <c:pt idx="171">
                  <c:v>0.09877198654900013</c:v>
                </c:pt>
                <c:pt idx="172">
                  <c:v>0.10104699790427808</c:v>
                </c:pt>
                <c:pt idx="173">
                  <c:v>0.10336653791516584</c:v>
                </c:pt>
                <c:pt idx="174">
                  <c:v>0.10573110929324402</c:v>
                </c:pt>
                <c:pt idx="175">
                  <c:v>0.10814120265462636</c:v>
                </c:pt>
                <c:pt idx="176">
                  <c:v>0.11059729551030963</c:v>
                </c:pt>
                <c:pt idx="177">
                  <c:v>0.11309985117577794</c:v>
                </c:pt>
                <c:pt idx="178">
                  <c:v>0.11564931768499132</c:v>
                </c:pt>
                <c:pt idx="179">
                  <c:v>0.11824612667981566</c:v>
                </c:pt>
                <c:pt idx="180">
                  <c:v>0.12089363357172417</c:v>
                </c:pt>
                <c:pt idx="181">
                  <c:v>0.12358953754332588</c:v>
                </c:pt>
                <c:pt idx="182">
                  <c:v>0.12633421222221314</c:v>
                </c:pt>
                <c:pt idx="183">
                  <c:v>0.12912802315606522</c:v>
                </c:pt>
                <c:pt idx="184">
                  <c:v>0.1319713140621512</c:v>
                </c:pt>
                <c:pt idx="185">
                  <c:v>0.1348644055779627</c:v>
                </c:pt>
                <c:pt idx="186">
                  <c:v>0.1378075938857609</c:v>
                </c:pt>
                <c:pt idx="187">
                  <c:v>0.14080114950209077</c:v>
                </c:pt>
                <c:pt idx="188">
                  <c:v>0.14384531592200417</c:v>
                </c:pt>
                <c:pt idx="189">
                  <c:v>0.14694030831239008</c:v>
                </c:pt>
                <c:pt idx="190">
                  <c:v>0.15008631219913882</c:v>
                </c:pt>
                <c:pt idx="191">
                  <c:v>0.15328670507409617</c:v>
                </c:pt>
                <c:pt idx="192">
                  <c:v>0.15653864942828263</c:v>
                </c:pt>
                <c:pt idx="193">
                  <c:v>0.15984222691978414</c:v>
                </c:pt>
                <c:pt idx="194">
                  <c:v>0.163197501802273</c:v>
                </c:pt>
                <c:pt idx="195">
                  <c:v>0.16660450264665377</c:v>
                </c:pt>
                <c:pt idx="196">
                  <c:v>0.17006322101670462</c:v>
                </c:pt>
                <c:pt idx="197">
                  <c:v>0.17357360993933527</c:v>
                </c:pt>
                <c:pt idx="198">
                  <c:v>0.1771355827675484</c:v>
                </c:pt>
                <c:pt idx="199">
                  <c:v>0.18074901180535785</c:v>
                </c:pt>
                <c:pt idx="200">
                  <c:v>0.18441372706267692</c:v>
                </c:pt>
                <c:pt idx="201">
                  <c:v>0.1881295150440968</c:v>
                </c:pt>
                <c:pt idx="202">
                  <c:v>0.19189953958032202</c:v>
                </c:pt>
                <c:pt idx="203">
                  <c:v>0.1957203475297067</c:v>
                </c:pt>
                <c:pt idx="204">
                  <c:v>0.1995915739996635</c:v>
                </c:pt>
                <c:pt idx="205">
                  <c:v>0.20351282919509173</c:v>
                </c:pt>
                <c:pt idx="206">
                  <c:v>0.20748367506200757</c:v>
                </c:pt>
                <c:pt idx="207">
                  <c:v>0.21150362428567854</c:v>
                </c:pt>
                <c:pt idx="208">
                  <c:v>0.21557213897036012</c:v>
                </c:pt>
                <c:pt idx="209">
                  <c:v>0.21968863006428838</c:v>
                </c:pt>
                <c:pt idx="210">
                  <c:v>0.22385245640539952</c:v>
                </c:pt>
                <c:pt idx="211">
                  <c:v>0.22806292401217904</c:v>
                </c:pt>
                <c:pt idx="212">
                  <c:v>0.2323192854627361</c:v>
                </c:pt>
                <c:pt idx="213">
                  <c:v>0.23662426683765977</c:v>
                </c:pt>
                <c:pt idx="214">
                  <c:v>0.24097375846088734</c:v>
                </c:pt>
                <c:pt idx="215">
                  <c:v>0.24536682700716955</c:v>
                </c:pt>
                <c:pt idx="216">
                  <c:v>0.24980251380671248</c:v>
                </c:pt>
                <c:pt idx="217">
                  <c:v>0.25427980598400685</c:v>
                </c:pt>
                <c:pt idx="218">
                  <c:v>0.25879763627081837</c:v>
                </c:pt>
                <c:pt idx="219">
                  <c:v>0.2633548823319835</c:v>
                </c:pt>
                <c:pt idx="220">
                  <c:v>0.2679503673235368</c:v>
                </c:pt>
                <c:pt idx="221">
                  <c:v>0.27258285984800573</c:v>
                </c:pt>
                <c:pt idx="222">
                  <c:v>0.2772510742883196</c:v>
                </c:pt>
                <c:pt idx="223">
                  <c:v>0.2819536712761368</c:v>
                </c:pt>
                <c:pt idx="224">
                  <c:v>0.2866927859637509</c:v>
                </c:pt>
                <c:pt idx="225">
                  <c:v>0.29146371072214505</c:v>
                </c:pt>
                <c:pt idx="226">
                  <c:v>0.29626491592544696</c:v>
                </c:pt>
                <c:pt idx="227">
                  <c:v>0.3010948586912008</c:v>
                </c:pt>
                <c:pt idx="228">
                  <c:v>0.30595194800800707</c:v>
                </c:pt>
                <c:pt idx="229">
                  <c:v>0.31083454568126767</c:v>
                </c:pt>
                <c:pt idx="230">
                  <c:v>0.3157409665407064</c:v>
                </c:pt>
                <c:pt idx="231">
                  <c:v>0.3206694804985193</c:v>
                </c:pt>
                <c:pt idx="232">
                  <c:v>0.3256183136569937</c:v>
                </c:pt>
                <c:pt idx="233">
                  <c:v>0.33058564992115935</c:v>
                </c:pt>
                <c:pt idx="234">
                  <c:v>0.3355696327536504</c:v>
                </c:pt>
                <c:pt idx="235">
                  <c:v>0.34057177747829487</c:v>
                </c:pt>
                <c:pt idx="236">
                  <c:v>0.3455869889759876</c:v>
                </c:pt>
                <c:pt idx="237">
                  <c:v>0.3506132565889341</c:v>
                </c:pt>
                <c:pt idx="238">
                  <c:v>0.3556485834118058</c:v>
                </c:pt>
                <c:pt idx="239">
                  <c:v>0.36069094455697964</c:v>
                </c:pt>
                <c:pt idx="240">
                  <c:v>0.36573828906041717</c:v>
                </c:pt>
                <c:pt idx="241">
                  <c:v>0.37078854070781336</c:v>
                </c:pt>
                <c:pt idx="242">
                  <c:v>0.3758396014595827</c:v>
                </c:pt>
                <c:pt idx="243">
                  <c:v>0.38088935342710395</c:v>
                </c:pt>
                <c:pt idx="244">
                  <c:v>0.38593566146003183</c:v>
                </c:pt>
                <c:pt idx="245">
                  <c:v>0.39097637583061307</c:v>
                </c:pt>
                <c:pt idx="246">
                  <c:v>0.39601250395732135</c:v>
                </c:pt>
                <c:pt idx="247">
                  <c:v>0.40103892649473144</c:v>
                </c:pt>
                <c:pt idx="248">
                  <c:v>0.406053410340105</c:v>
                </c:pt>
                <c:pt idx="249">
                  <c:v>0.41105377445084296</c:v>
                </c:pt>
                <c:pt idx="250">
                  <c:v>0.4160378400007675</c:v>
                </c:pt>
                <c:pt idx="251">
                  <c:v>0.421003432499956</c:v>
                </c:pt>
                <c:pt idx="252">
                  <c:v>0.42594838243456185</c:v>
                </c:pt>
                <c:pt idx="253">
                  <c:v>0.4308705293985098</c:v>
                </c:pt>
                <c:pt idx="254">
                  <c:v>0.43576772413806003</c:v>
                </c:pt>
                <c:pt idx="255">
                  <c:v>0.4406378313103231</c:v>
                </c:pt>
                <c:pt idx="256">
                  <c:v>0.4454787322600707</c:v>
                </c:pt>
                <c:pt idx="257">
                  <c:v>0.45029112440406643</c:v>
                </c:pt>
                <c:pt idx="258">
                  <c:v>0.45507031969895756</c:v>
                </c:pt>
                <c:pt idx="259">
                  <c:v>0.4598141983827618</c:v>
                </c:pt>
                <c:pt idx="260">
                  <c:v>0.46452073305837577</c:v>
                </c:pt>
                <c:pt idx="261">
                  <c:v>0.46918792949871974</c:v>
                </c:pt>
                <c:pt idx="262">
                  <c:v>0.4738138280075441</c:v>
                </c:pt>
                <c:pt idx="263">
                  <c:v>0.47839650289516833</c:v>
                </c:pt>
                <c:pt idx="264">
                  <c:v>0.48293406649832255</c:v>
                </c:pt>
                <c:pt idx="265">
                  <c:v>0.48742467037107456</c:v>
                </c:pt>
                <c:pt idx="266">
                  <c:v>0.49186650732601506</c:v>
                </c:pt>
                <c:pt idx="267">
                  <c:v>0.49625781342262504</c:v>
                </c:pt>
                <c:pt idx="268">
                  <c:v>0.5005991810849199</c:v>
                </c:pt>
                <c:pt idx="269">
                  <c:v>0.504886773161086</c:v>
                </c:pt>
                <c:pt idx="270">
                  <c:v>0.5091188894159357</c:v>
                </c:pt>
                <c:pt idx="271">
                  <c:v>0.513293953680827</c:v>
                </c:pt>
                <c:pt idx="272">
                  <c:v>0.5174104447924439</c:v>
                </c:pt>
                <c:pt idx="273">
                  <c:v>0.5214668964920509</c:v>
                </c:pt>
                <c:pt idx="274">
                  <c:v>0.5254618953771161</c:v>
                </c:pt>
                <c:pt idx="275">
                  <c:v>0.5293940840950558</c:v>
                </c:pt>
                <c:pt idx="276">
                  <c:v>0.5332621612330404</c:v>
                </c:pt>
                <c:pt idx="277">
                  <c:v>0.537064882153116</c:v>
                </c:pt>
                <c:pt idx="278">
                  <c:v>0.5408010597399369</c:v>
                </c:pt>
                <c:pt idx="279">
                  <c:v>0.5444712975289082</c:v>
                </c:pt>
                <c:pt idx="280">
                  <c:v>0.548072896359863</c:v>
                </c:pt>
                <c:pt idx="281">
                  <c:v>0.5516047614381353</c:v>
                </c:pt>
                <c:pt idx="282">
                  <c:v>0.5550659384857882</c:v>
                </c:pt>
                <c:pt idx="283">
                  <c:v>0.5584555356810693</c:v>
                </c:pt>
                <c:pt idx="284">
                  <c:v>0.5617727222250667</c:v>
                </c:pt>
                <c:pt idx="285">
                  <c:v>0.5650167249045135</c:v>
                </c:pt>
                <c:pt idx="286">
                  <c:v>0.5681868305120434</c:v>
                </c:pt>
                <c:pt idx="287">
                  <c:v>0.5712823845000865</c:v>
                </c:pt>
                <c:pt idx="288">
                  <c:v>0.5743027906980833</c:v>
                </c:pt>
                <c:pt idx="289">
                  <c:v>0.5772475109414922</c:v>
                </c:pt>
                <c:pt idx="290">
                  <c:v>0.5801172220114656</c:v>
                </c:pt>
                <c:pt idx="291">
                  <c:v>0.5829104080919095</c:v>
                </c:pt>
                <c:pt idx="292">
                  <c:v>0.5856266150872369</c:v>
                </c:pt>
                <c:pt idx="293">
                  <c:v>0.5882655305299763</c:v>
                </c:pt>
                <c:pt idx="294">
                  <c:v>0.5908268987547854</c:v>
                </c:pt>
                <c:pt idx="295">
                  <c:v>0.5933105186259758</c:v>
                </c:pt>
                <c:pt idx="296">
                  <c:v>0.595716239901268</c:v>
                </c:pt>
                <c:pt idx="297">
                  <c:v>0.5980439647145688</c:v>
                </c:pt>
                <c:pt idx="298">
                  <c:v>0.60029364569112</c:v>
                </c:pt>
                <c:pt idx="299">
                  <c:v>0.6024652850015406</c:v>
                </c:pt>
                <c:pt idx="300">
                  <c:v>0.6045589333430244</c:v>
                </c:pt>
                <c:pt idx="301">
                  <c:v>0.6065753145088358</c:v>
                </c:pt>
                <c:pt idx="302">
                  <c:v>0.6085140031270632</c:v>
                </c:pt>
                <c:pt idx="303">
                  <c:v>0.6103751132045847</c:v>
                </c:pt>
                <c:pt idx="304">
                  <c:v>0.6121588901250246</c:v>
                </c:pt>
                <c:pt idx="305">
                  <c:v>0.6138656224584144</c:v>
                </c:pt>
                <c:pt idx="306">
                  <c:v>0.6154956397057548</c:v>
                </c:pt>
                <c:pt idx="307">
                  <c:v>0.6170493092137925</c:v>
                </c:pt>
                <c:pt idx="308">
                  <c:v>0.6185270370985569</c:v>
                </c:pt>
                <c:pt idx="309">
                  <c:v>0.6199292663609034</c:v>
                </c:pt>
                <c:pt idx="310">
                  <c:v>0.621256475760617</c:v>
                </c:pt>
                <c:pt idx="311">
                  <c:v>0.6225091786307311</c:v>
                </c:pt>
                <c:pt idx="312">
                  <c:v>0.6236881551115414</c:v>
                </c:pt>
                <c:pt idx="313">
                  <c:v>0.6247937620226682</c:v>
                </c:pt>
                <c:pt idx="314">
                  <c:v>0.6258265253686334</c:v>
                </c:pt>
                <c:pt idx="315">
                  <c:v>0.6267870876148051</c:v>
                </c:pt>
                <c:pt idx="316">
                  <c:v>0.6276761191525269</c:v>
                </c:pt>
                <c:pt idx="317">
                  <c:v>0.62849431596143</c:v>
                </c:pt>
                <c:pt idx="318">
                  <c:v>0.6292423988611626</c:v>
                </c:pt>
                <c:pt idx="319">
                  <c:v>0.6299211127076814</c:v>
                </c:pt>
                <c:pt idx="320">
                  <c:v>0.6305312254812578</c:v>
                </c:pt>
                <c:pt idx="321">
                  <c:v>0.6310735272966141</c:v>
                </c:pt>
                <c:pt idx="322">
                  <c:v>0.6315488293713197</c:v>
                </c:pt>
                <c:pt idx="323">
                  <c:v>0.6319579629768503</c:v>
                </c:pt>
                <c:pt idx="324">
                  <c:v>0.6323017783883808</c:v>
                </c:pt>
                <c:pt idx="325">
                  <c:v>0.6325810647637544</c:v>
                </c:pt>
                <c:pt idx="326">
                  <c:v>0.6327967120650027</c:v>
                </c:pt>
                <c:pt idx="327">
                  <c:v>0.6329496248739521</c:v>
                </c:pt>
                <c:pt idx="328">
                  <c:v>0.6330407206801303</c:v>
                </c:pt>
                <c:pt idx="329">
                  <c:v>0.6330709296805302</c:v>
                </c:pt>
                <c:pt idx="330">
                  <c:v>0.6330411943370079</c:v>
                </c:pt>
                <c:pt idx="331">
                  <c:v>0.632952468748241</c:v>
                </c:pt>
                <c:pt idx="332">
                  <c:v>0.6328057179286387</c:v>
                </c:pt>
                <c:pt idx="333">
                  <c:v>0.6326019170343773</c:v>
                </c:pt>
                <c:pt idx="334">
                  <c:v>0.6323420505687258</c:v>
                </c:pt>
                <c:pt idx="335">
                  <c:v>0.63202711158467</c:v>
                </c:pt>
                <c:pt idx="336">
                  <c:v>0.6316580266523795</c:v>
                </c:pt>
                <c:pt idx="337">
                  <c:v>0.6312358101933941</c:v>
                </c:pt>
                <c:pt idx="338">
                  <c:v>0.6307614810727552</c:v>
                </c:pt>
                <c:pt idx="339">
                  <c:v>0.6302360611604595</c:v>
                </c:pt>
                <c:pt idx="340">
                  <c:v>0.6296605756377476</c:v>
                </c:pt>
                <c:pt idx="341">
                  <c:v>0.62903605289482</c:v>
                </c:pt>
                <c:pt idx="342">
                  <c:v>0.6283635241636443</c:v>
                </c:pt>
                <c:pt idx="343">
                  <c:v>0.6276440230380603</c:v>
                </c:pt>
                <c:pt idx="344">
                  <c:v>0.6268785849196294</c:v>
                </c:pt>
                <c:pt idx="345">
                  <c:v>0.626068246430145</c:v>
                </c:pt>
                <c:pt idx="346">
                  <c:v>0.6252140448119702</c:v>
                </c:pt>
                <c:pt idx="347">
                  <c:v>0.6243169498628756</c:v>
                </c:pt>
                <c:pt idx="348">
                  <c:v>0.6233780065789797</c:v>
                </c:pt>
                <c:pt idx="349">
                  <c:v>0.622398256506738</c:v>
                </c:pt>
                <c:pt idx="350">
                  <c:v>0.6213787365640865</c:v>
                </c:pt>
                <c:pt idx="351">
                  <c:v>0.6203204797852191</c:v>
                </c:pt>
                <c:pt idx="352">
                  <c:v>0.6192245154600468</c:v>
                </c:pt>
                <c:pt idx="353">
                  <c:v>0.6180918689310491</c:v>
                </c:pt>
                <c:pt idx="354">
                  <c:v>0.6169235612633964</c:v>
                </c:pt>
                <c:pt idx="355">
                  <c:v>0.6157206088199398</c:v>
                </c:pt>
                <c:pt idx="356">
                  <c:v>0.6144840227915112</c:v>
                </c:pt>
                <c:pt idx="357">
                  <c:v>0.6132148087072934</c:v>
                </c:pt>
                <c:pt idx="358">
                  <c:v>0.6119139067059447</c:v>
                </c:pt>
                <c:pt idx="359">
                  <c:v>0.6105823191950791</c:v>
                </c:pt>
                <c:pt idx="360">
                  <c:v>0.6092210386348526</c:v>
                </c:pt>
                <c:pt idx="361">
                  <c:v>0.6078310466029231</c:v>
                </c:pt>
                <c:pt idx="362">
                  <c:v>0.6064133148912428</c:v>
                </c:pt>
                <c:pt idx="363">
                  <c:v>0.6049688057949415</c:v>
                </c:pt>
                <c:pt idx="364">
                  <c:v>0.6034984719930309</c:v>
                </c:pt>
                <c:pt idx="365">
                  <c:v>0.602003256299519</c:v>
                </c:pt>
                <c:pt idx="366">
                  <c:v>0.6004840913046791</c:v>
                </c:pt>
                <c:pt idx="367">
                  <c:v>0.5989418989668861</c:v>
                </c:pt>
                <c:pt idx="368">
                  <c:v>0.5973775901831244</c:v>
                </c:pt>
                <c:pt idx="369">
                  <c:v>0.5957920142557155</c:v>
                </c:pt>
                <c:pt idx="370">
                  <c:v>0.5941860692756439</c:v>
                </c:pt>
                <c:pt idx="371">
                  <c:v>0.5925606377140662</c:v>
                </c:pt>
                <c:pt idx="372">
                  <c:v>0.590916585745314</c:v>
                </c:pt>
                <c:pt idx="373">
                  <c:v>0.5892547646392415</c:v>
                </c:pt>
                <c:pt idx="374">
                  <c:v>0.5875760111592713</c:v>
                </c:pt>
                <c:pt idx="375">
                  <c:v>0.5858811475033355</c:v>
                </c:pt>
                <c:pt idx="376">
                  <c:v>0.5841709811253238</c:v>
                </c:pt>
                <c:pt idx="377">
                  <c:v>0.5824463044406814</c:v>
                </c:pt>
                <c:pt idx="378">
                  <c:v>0.5807078944860845</c:v>
                </c:pt>
                <c:pt idx="379">
                  <c:v>0.57895651256364</c:v>
                </c:pt>
                <c:pt idx="380">
                  <c:v>0.5771928632427872</c:v>
                </c:pt>
                <c:pt idx="381">
                  <c:v>0.5754176862736605</c:v>
                </c:pt>
                <c:pt idx="382">
                  <c:v>0.5736317010494578</c:v>
                </c:pt>
                <c:pt idx="383">
                  <c:v>0.5718356062229117</c:v>
                </c:pt>
                <c:pt idx="384">
                  <c:v>0.5700300813779878</c:v>
                </c:pt>
                <c:pt idx="385">
                  <c:v>0.5682157875517541</c:v>
                </c:pt>
                <c:pt idx="386">
                  <c:v>0.5663933672683247</c:v>
                </c:pt>
                <c:pt idx="387">
                  <c:v>0.5645634444749572</c:v>
                </c:pt>
                <c:pt idx="388">
                  <c:v>0.5627266243646001</c:v>
                </c:pt>
                <c:pt idx="389">
                  <c:v>0.5608834931623898</c:v>
                </c:pt>
                <c:pt idx="390">
                  <c:v>0.5590346179071974</c:v>
                </c:pt>
                <c:pt idx="391">
                  <c:v>0.5571805148065013</c:v>
                </c:pt>
                <c:pt idx="392">
                  <c:v>0.5553217225812531</c:v>
                </c:pt>
                <c:pt idx="393">
                  <c:v>0.5534587565005394</c:v>
                </c:pt>
                <c:pt idx="394">
                  <c:v>0.551592108308092</c:v>
                </c:pt>
                <c:pt idx="395">
                  <c:v>0.5497222481725278</c:v>
                </c:pt>
                <c:pt idx="396">
                  <c:v>0.5478496253696709</c:v>
                </c:pt>
                <c:pt idx="397">
                  <c:v>0.5459746684653546</c:v>
                </c:pt>
                <c:pt idx="398">
                  <c:v>0.54409778542915</c:v>
                </c:pt>
                <c:pt idx="399">
                  <c:v>0.5422193636423911</c:v>
                </c:pt>
                <c:pt idx="400">
                  <c:v>0.540339769881866</c:v>
                </c:pt>
                <c:pt idx="401">
                  <c:v>0.5384593503088375</c:v>
                </c:pt>
                <c:pt idx="402">
                  <c:v>0.5365784074837676</c:v>
                </c:pt>
                <c:pt idx="403">
                  <c:v>0.5346972560597708</c:v>
                </c:pt>
                <c:pt idx="404">
                  <c:v>0.5328161866421243</c:v>
                </c:pt>
                <c:pt idx="405">
                  <c:v>0.5309354659700913</c:v>
                </c:pt>
                <c:pt idx="406">
                  <c:v>0.5290553391146897</c:v>
                </c:pt>
                <c:pt idx="407">
                  <c:v>0.5271760303296069</c:v>
                </c:pt>
                <c:pt idx="408">
                  <c:v>0.52529774341251</c:v>
                </c:pt>
                <c:pt idx="409">
                  <c:v>0.5234206620265912</c:v>
                </c:pt>
                <c:pt idx="410">
                  <c:v>0.5215449499266299</c:v>
                </c:pt>
                <c:pt idx="411">
                  <c:v>0.5196707511693137</c:v>
                </c:pt>
                <c:pt idx="412">
                  <c:v>0.5177981903341462</c:v>
                </c:pt>
                <c:pt idx="413">
                  <c:v>0.5159273570594578</c:v>
                </c:pt>
                <c:pt idx="414">
                  <c:v>0.5140583458352355</c:v>
                </c:pt>
                <c:pt idx="415">
                  <c:v>0.5121912294187324</c:v>
                </c:pt>
                <c:pt idx="416">
                  <c:v>0.510326059111258</c:v>
                </c:pt>
                <c:pt idx="417">
                  <c:v>0.5084628671047711</c:v>
                </c:pt>
                <c:pt idx="418">
                  <c:v>0.5066016674433307</c:v>
                </c:pt>
                <c:pt idx="419">
                  <c:v>0.5047424565292452</c:v>
                </c:pt>
                <c:pt idx="420">
                  <c:v>0.5028852136134849</c:v>
                </c:pt>
                <c:pt idx="421">
                  <c:v>0.501029901201725</c:v>
                </c:pt>
                <c:pt idx="422">
                  <c:v>0.49917646544746336</c:v>
                </c:pt>
                <c:pt idx="423">
                  <c:v>0.49732483655392046</c:v>
                </c:pt>
                <c:pt idx="424">
                  <c:v>0.4954749193356027</c:v>
                </c:pt>
                <c:pt idx="425">
                  <c:v>0.49362661954488724</c:v>
                </c:pt>
                <c:pt idx="426">
                  <c:v>0.4917798259757989</c:v>
                </c:pt>
                <c:pt idx="427">
                  <c:v>0.4899344105921576</c:v>
                </c:pt>
                <c:pt idx="428">
                  <c:v>0.4880902308613969</c:v>
                </c:pt>
                <c:pt idx="429">
                  <c:v>0.48624713070571507</c:v>
                </c:pt>
                <c:pt idx="430">
                  <c:v>0.48440494105827897</c:v>
                </c:pt>
                <c:pt idx="431">
                  <c:v>0.4825634804180014</c:v>
                </c:pt>
                <c:pt idx="432">
                  <c:v>0.4807225553332734</c:v>
                </c:pt>
                <c:pt idx="433">
                  <c:v>0.4788819608706303</c:v>
                </c:pt>
                <c:pt idx="434">
                  <c:v>0.47704148108554284</c:v>
                </c:pt>
                <c:pt idx="435">
                  <c:v>0.47520088398851773</c:v>
                </c:pt>
                <c:pt idx="436">
                  <c:v>0.47335993722754066</c:v>
                </c:pt>
                <c:pt idx="437">
                  <c:v>0.47151839747973034</c:v>
                </c:pt>
                <c:pt idx="438">
                  <c:v>0.46967601017869776</c:v>
                </c:pt>
                <c:pt idx="439">
                  <c:v>0.46783251165814993</c:v>
                </c:pt>
                <c:pt idx="440">
                  <c:v>0.4659876299536705</c:v>
                </c:pt>
                <c:pt idx="441">
                  <c:v>0.4641410852903381</c:v>
                </c:pt>
                <c:pt idx="442">
                  <c:v>0.46229259057489236</c:v>
                </c:pt>
                <c:pt idx="443">
                  <c:v>0.46044185183284775</c:v>
                </c:pt>
                <c:pt idx="444">
                  <c:v>0.45858856862649766</c:v>
                </c:pt>
                <c:pt idx="445">
                  <c:v>0.4567324344672978</c:v>
                </c:pt>
                <c:pt idx="446">
                  <c:v>0.4548731345823697</c:v>
                </c:pt>
                <c:pt idx="447">
                  <c:v>0.4530103540002723</c:v>
                </c:pt>
                <c:pt idx="448">
                  <c:v>0.4511437723828177</c:v>
                </c:pt>
                <c:pt idx="449">
                  <c:v>0.4492730632052923</c:v>
                </c:pt>
                <c:pt idx="450">
                  <c:v>0.4473978955840759</c:v>
                </c:pt>
                <c:pt idx="451">
                  <c:v>0.4455179348464961</c:v>
                </c:pt>
                <c:pt idx="452">
                  <c:v>0.4436328428548263</c:v>
                </c:pt>
                <c:pt idx="453">
                  <c:v>0.4417422783333492</c:v>
                </c:pt>
                <c:pt idx="454">
                  <c:v>0.4398458971598138</c:v>
                </c:pt>
                <c:pt idx="455">
                  <c:v>0.4379433526344595</c:v>
                </c:pt>
                <c:pt idx="456">
                  <c:v>0.4360342957381933</c:v>
                </c:pt>
                <c:pt idx="457">
                  <c:v>0.43411837441518786</c:v>
                </c:pt>
                <c:pt idx="458">
                  <c:v>0.4321952368200582</c:v>
                </c:pt>
                <c:pt idx="459">
                  <c:v>0.4302645296740853</c:v>
                </c:pt>
                <c:pt idx="460">
                  <c:v>0.428325896902634</c:v>
                </c:pt>
                <c:pt idx="461">
                  <c:v>0.426378981099509</c:v>
                </c:pt>
                <c:pt idx="462">
                  <c:v>0.42442342378783665</c:v>
                </c:pt>
                <c:pt idx="463">
                  <c:v>0.42245886554038703</c:v>
                </c:pt>
                <c:pt idx="464">
                  <c:v>0.4204849460944431</c:v>
                </c:pt>
                <c:pt idx="465">
                  <c:v>0.41850130444940237</c:v>
                </c:pt>
                <c:pt idx="466">
                  <c:v>0.41650757894056434</c:v>
                </c:pt>
                <c:pt idx="467">
                  <c:v>0.4145034072996647</c:v>
                </c:pt>
                <c:pt idx="468">
                  <c:v>0.4124884264391401</c:v>
                </c:pt>
                <c:pt idx="469">
                  <c:v>0.4104622732646732</c:v>
                </c:pt>
                <c:pt idx="470">
                  <c:v>0.40842458472843357</c:v>
                </c:pt>
                <c:pt idx="471">
                  <c:v>0.4063749961053691</c:v>
                </c:pt>
                <c:pt idx="472">
                  <c:v>0.4043131421215378</c:v>
                </c:pt>
                <c:pt idx="473">
                  <c:v>0.40223865694395644</c:v>
                </c:pt>
                <c:pt idx="474">
                  <c:v>0.4001511740930062</c:v>
                </c:pt>
                <c:pt idx="475">
                  <c:v>0.398050326343154</c:v>
                </c:pt>
                <c:pt idx="476">
                  <c:v>0.39593574562082406</c:v>
                </c:pt>
                <c:pt idx="477">
                  <c:v>0.39380706287852174</c:v>
                </c:pt>
                <c:pt idx="478">
                  <c:v>0.391663907956579</c:v>
                </c:pt>
                <c:pt idx="479">
                  <c:v>0.3895059094284489</c:v>
                </c:pt>
                <c:pt idx="480">
                  <c:v>0.3873326944293452</c:v>
                </c:pt>
                <c:pt idx="481">
                  <c:v>0.3851438891459764</c:v>
                </c:pt>
                <c:pt idx="482">
                  <c:v>0.3829391169476815</c:v>
                </c:pt>
                <c:pt idx="483">
                  <c:v>0.3807179992146624</c:v>
                </c:pt>
                <c:pt idx="484">
                  <c:v>0.37848015509544997</c:v>
                </c:pt>
                <c:pt idx="485">
                  <c:v>0.3762252012208622</c:v>
                </c:pt>
                <c:pt idx="486">
                  <c:v>0.3739527514144311</c:v>
                </c:pt>
                <c:pt idx="487">
                  <c:v>0.3716624164019473</c:v>
                </c:pt>
                <c:pt idx="488">
                  <c:v>0.36935380349794095</c:v>
                </c:pt>
                <c:pt idx="489">
                  <c:v>0.36702651628067406</c:v>
                </c:pt>
                <c:pt idx="490">
                  <c:v>0.36468015425122485</c:v>
                </c:pt>
                <c:pt idx="491">
                  <c:v>0.362314312476397</c:v>
                </c:pt>
                <c:pt idx="492">
                  <c:v>0.35992858179467646</c:v>
                </c:pt>
                <c:pt idx="493">
                  <c:v>0.35752254698621394</c:v>
                </c:pt>
                <c:pt idx="494">
                  <c:v>0.3550957873125043</c:v>
                </c:pt>
                <c:pt idx="495">
                  <c:v>0.3526478760643095</c:v>
                </c:pt>
                <c:pt idx="496">
                  <c:v>0.35017838008704916</c:v>
                </c:pt>
                <c:pt idx="497">
                  <c:v>0.34768685930492954</c:v>
                </c:pt>
                <c:pt idx="498">
                  <c:v>0.3451728662423642</c:v>
                </c:pt>
                <c:pt idx="499">
                  <c:v>0.34263594552044563</c:v>
                </c:pt>
                <c:pt idx="500">
                  <c:v>0.3400756333396737</c:v>
                </c:pt>
              </c:numCache>
            </c:numRef>
          </c:val>
          <c:smooth val="0"/>
        </c:ser>
        <c:axId val="6198501"/>
        <c:axId val="55786510"/>
      </c:lineChart>
      <c:catAx>
        <c:axId val="6198501"/>
        <c:scaling>
          <c:orientation val="minMax"/>
        </c:scaling>
        <c:axPos val="b"/>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55786510"/>
        <c:crosses val="autoZero"/>
        <c:auto val="1"/>
        <c:lblOffset val="100"/>
        <c:tickLblSkip val="50"/>
        <c:tickMarkSkip val="10"/>
        <c:noMultiLvlLbl val="0"/>
      </c:catAx>
      <c:valAx>
        <c:axId val="55786510"/>
        <c:scaling>
          <c:orientation val="minMax"/>
        </c:scaling>
        <c:axPos val="l"/>
        <c:majorGridlines/>
        <c:delete val="0"/>
        <c:numFmt formatCode="0.00%" sourceLinked="0"/>
        <c:majorTickMark val="out"/>
        <c:minorTickMark val="none"/>
        <c:tickLblPos val="nextTo"/>
        <c:txPr>
          <a:bodyPr/>
          <a:lstStyle/>
          <a:p>
            <a:pPr>
              <a:defRPr lang="en-US" cap="none" sz="1200" b="0" i="0" u="none" baseline="0">
                <a:latin typeface="Arial"/>
                <a:ea typeface="Arial"/>
                <a:cs typeface="Arial"/>
              </a:defRPr>
            </a:pPr>
          </a:p>
        </c:txPr>
        <c:crossAx val="6198501"/>
        <c:crossesAt val="1"/>
        <c:crossBetween val="between"/>
        <c:dispUnits>
          <c:builtInUnit val="hundreds"/>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latin typeface="Arial"/>
                <a:ea typeface="Arial"/>
                <a:cs typeface="Arial"/>
              </a:rPr>
              <a:t>Adult HIV Prevalence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'2005'!#REF!</c:f>
              <c:strCache>
                <c:ptCount val="1"/>
                <c:pt idx="0">
                  <c:v>1</c:v>
                </c:pt>
              </c:strCache>
            </c:strRef>
          </c:cat>
          <c:val>
            <c:numRef>
              <c:f>'2005'!#REF!</c:f>
              <c:numCache>
                <c:ptCount val="1"/>
                <c:pt idx="0">
                  <c:v>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'2005'!#REF!</c:f>
              <c:strCache>
                <c:ptCount val="1"/>
                <c:pt idx="0">
                  <c:v>1</c:v>
                </c:pt>
              </c:strCache>
            </c:strRef>
          </c:cat>
          <c:val>
            <c:numRef>
              <c:f>'2005'!#REF!</c:f>
              <c:numCache>
                <c:ptCount val="1"/>
                <c:pt idx="0">
                  <c:v>1</c:v>
                </c:pt>
              </c:numCache>
            </c:numRef>
          </c:val>
          <c:smooth val="0"/>
        </c:ser>
        <c:axId val="32316543"/>
        <c:axId val="22413432"/>
      </c:lineChart>
      <c:catAx>
        <c:axId val="32316543"/>
        <c:scaling>
          <c:orientation val="minMax"/>
        </c:scaling>
        <c:axPos val="b"/>
        <c:delete val="0"/>
        <c:numFmt formatCode="General" sourceLinked="1"/>
        <c:majorTickMark val="out"/>
        <c:minorTickMark val="none"/>
        <c:tickLblPos val="nextTo"/>
        <c:crossAx val="22413432"/>
        <c:crosses val="autoZero"/>
        <c:auto val="1"/>
        <c:lblOffset val="100"/>
        <c:tickLblSkip val="5"/>
        <c:noMultiLvlLbl val="0"/>
      </c:catAx>
      <c:valAx>
        <c:axId val="22413432"/>
        <c:scaling>
          <c:orientation val="minMax"/>
        </c:scaling>
        <c:axPos val="l"/>
        <c:majorGridlines/>
        <c:delete val="0"/>
        <c:numFmt formatCode="0.00" sourceLinked="0"/>
        <c:majorTickMark val="out"/>
        <c:minorTickMark val="none"/>
        <c:tickLblPos val="nextTo"/>
        <c:crossAx val="3231654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latin typeface="Arial"/>
                <a:ea typeface="Arial"/>
                <a:cs typeface="Arial"/>
              </a:rPr>
              <a:t>Adult HIV Prevalence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'2010'!#REF!</c:f>
              <c:strCache>
                <c:ptCount val="1"/>
                <c:pt idx="0">
                  <c:v>1</c:v>
                </c:pt>
              </c:strCache>
            </c:strRef>
          </c:cat>
          <c:val>
            <c:numRef>
              <c:f>'2010'!#REF!</c:f>
              <c:numCache>
                <c:ptCount val="1"/>
                <c:pt idx="0">
                  <c:v>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'2010'!#REF!</c:f>
              <c:strCache>
                <c:ptCount val="1"/>
                <c:pt idx="0">
                  <c:v>1</c:v>
                </c:pt>
              </c:strCache>
            </c:strRef>
          </c:cat>
          <c:val>
            <c:numRef>
              <c:f>'2010'!#REF!</c:f>
              <c:numCache>
                <c:ptCount val="1"/>
                <c:pt idx="0">
                  <c:v>1</c:v>
                </c:pt>
              </c:numCache>
            </c:numRef>
          </c:val>
          <c:smooth val="0"/>
        </c:ser>
        <c:axId val="394297"/>
        <c:axId val="3548674"/>
      </c:lineChart>
      <c:catAx>
        <c:axId val="394297"/>
        <c:scaling>
          <c:orientation val="minMax"/>
        </c:scaling>
        <c:axPos val="b"/>
        <c:delete val="0"/>
        <c:numFmt formatCode="General" sourceLinked="1"/>
        <c:majorTickMark val="out"/>
        <c:minorTickMark val="none"/>
        <c:tickLblPos val="nextTo"/>
        <c:crossAx val="3548674"/>
        <c:crosses val="autoZero"/>
        <c:auto val="1"/>
        <c:lblOffset val="100"/>
        <c:tickLblSkip val="5"/>
        <c:noMultiLvlLbl val="0"/>
      </c:catAx>
      <c:valAx>
        <c:axId val="3548674"/>
        <c:scaling>
          <c:orientation val="minMax"/>
        </c:scaling>
        <c:axPos val="l"/>
        <c:majorGridlines/>
        <c:delete val="0"/>
        <c:numFmt formatCode="0.00" sourceLinked="0"/>
        <c:majorTickMark val="out"/>
        <c:minorTickMark val="none"/>
        <c:tickLblPos val="nextTo"/>
        <c:crossAx val="39429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latin typeface="Arial"/>
                <a:ea typeface="Arial"/>
                <a:cs typeface="Arial"/>
              </a:rPr>
              <a:t>Adult HIV Prevalence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'2020'!#REF!</c:f>
              <c:strCache>
                <c:ptCount val="1"/>
                <c:pt idx="0">
                  <c:v>1</c:v>
                </c:pt>
              </c:strCache>
            </c:strRef>
          </c:cat>
          <c:val>
            <c:numRef>
              <c:f>'2020'!#REF!</c:f>
              <c:numCache>
                <c:ptCount val="1"/>
                <c:pt idx="0">
                  <c:v>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'2020'!#REF!</c:f>
              <c:strCache>
                <c:ptCount val="1"/>
                <c:pt idx="0">
                  <c:v>1</c:v>
                </c:pt>
              </c:strCache>
            </c:strRef>
          </c:cat>
          <c:val>
            <c:numRef>
              <c:f>'2020'!#REF!</c:f>
              <c:numCache>
                <c:ptCount val="1"/>
                <c:pt idx="0">
                  <c:v>1</c:v>
                </c:pt>
              </c:numCache>
            </c:numRef>
          </c:val>
          <c:smooth val="0"/>
        </c:ser>
        <c:axId val="31938067"/>
        <c:axId val="19007148"/>
      </c:lineChart>
      <c:catAx>
        <c:axId val="31938067"/>
        <c:scaling>
          <c:orientation val="minMax"/>
        </c:scaling>
        <c:axPos val="b"/>
        <c:delete val="0"/>
        <c:numFmt formatCode="General" sourceLinked="1"/>
        <c:majorTickMark val="out"/>
        <c:minorTickMark val="none"/>
        <c:tickLblPos val="nextTo"/>
        <c:crossAx val="19007148"/>
        <c:crosses val="autoZero"/>
        <c:auto val="1"/>
        <c:lblOffset val="100"/>
        <c:tickLblSkip val="5"/>
        <c:noMultiLvlLbl val="0"/>
      </c:catAx>
      <c:valAx>
        <c:axId val="19007148"/>
        <c:scaling>
          <c:orientation val="minMax"/>
        </c:scaling>
        <c:axPos val="l"/>
        <c:majorGridlines/>
        <c:delete val="0"/>
        <c:numFmt formatCode="0.00" sourceLinked="0"/>
        <c:majorTickMark val="out"/>
        <c:minorTickMark val="none"/>
        <c:tickLblPos val="nextTo"/>
        <c:crossAx val="3193806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latin typeface="Arial"/>
                <a:ea typeface="Arial"/>
                <a:cs typeface="Arial"/>
              </a:rPr>
              <a:t>Adult HIV Prevalence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'2030'!#REF!</c:f>
              <c:strCache>
                <c:ptCount val="1"/>
                <c:pt idx="0">
                  <c:v>1</c:v>
                </c:pt>
              </c:strCache>
            </c:strRef>
          </c:cat>
          <c:val>
            <c:numRef>
              <c:f>'2030'!#REF!</c:f>
              <c:numCache>
                <c:ptCount val="1"/>
                <c:pt idx="0">
                  <c:v>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'2030'!#REF!</c:f>
              <c:strCache>
                <c:ptCount val="1"/>
                <c:pt idx="0">
                  <c:v>1</c:v>
                </c:pt>
              </c:strCache>
            </c:strRef>
          </c:cat>
          <c:val>
            <c:numRef>
              <c:f>'2030'!#REF!</c:f>
              <c:numCache>
                <c:ptCount val="1"/>
                <c:pt idx="0">
                  <c:v>1</c:v>
                </c:pt>
              </c:numCache>
            </c:numRef>
          </c:val>
          <c:smooth val="0"/>
        </c:ser>
        <c:axId val="36846605"/>
        <c:axId val="63183990"/>
      </c:lineChart>
      <c:catAx>
        <c:axId val="36846605"/>
        <c:scaling>
          <c:orientation val="minMax"/>
        </c:scaling>
        <c:axPos val="b"/>
        <c:delete val="0"/>
        <c:numFmt formatCode="General" sourceLinked="1"/>
        <c:majorTickMark val="out"/>
        <c:minorTickMark val="none"/>
        <c:tickLblPos val="nextTo"/>
        <c:crossAx val="63183990"/>
        <c:crosses val="autoZero"/>
        <c:auto val="1"/>
        <c:lblOffset val="100"/>
        <c:tickLblSkip val="5"/>
        <c:noMultiLvlLbl val="0"/>
      </c:catAx>
      <c:valAx>
        <c:axId val="63183990"/>
        <c:scaling>
          <c:orientation val="minMax"/>
        </c:scaling>
        <c:axPos val="l"/>
        <c:majorGridlines/>
        <c:delete val="0"/>
        <c:numFmt formatCode="0.00" sourceLinked="0"/>
        <c:majorTickMark val="out"/>
        <c:minorTickMark val="none"/>
        <c:tickLblPos val="nextTo"/>
        <c:crossAx val="3684660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 Id="rId3"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31</xdr:row>
      <xdr:rowOff>47625</xdr:rowOff>
    </xdr:from>
    <xdr:to>
      <xdr:col>11</xdr:col>
      <xdr:colOff>581025</xdr:colOff>
      <xdr:row>54</xdr:row>
      <xdr:rowOff>133350</xdr:rowOff>
    </xdr:to>
    <xdr:graphicFrame>
      <xdr:nvGraphicFramePr>
        <xdr:cNvPr id="1" name="Chart 272"/>
        <xdr:cNvGraphicFramePr/>
      </xdr:nvGraphicFramePr>
      <xdr:xfrm>
        <a:off x="3086100" y="6667500"/>
        <a:ext cx="8267700" cy="4400550"/>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9525</xdr:colOff>
      <xdr:row>0</xdr:row>
      <xdr:rowOff>9525</xdr:rowOff>
    </xdr:from>
    <xdr:to>
      <xdr:col>4</xdr:col>
      <xdr:colOff>142875</xdr:colOff>
      <xdr:row>0</xdr:row>
      <xdr:rowOff>190500</xdr:rowOff>
    </xdr:to>
    <xdr:pic>
      <xdr:nvPicPr>
        <xdr:cNvPr id="2" name="ListBox1"/>
        <xdr:cNvPicPr preferRelativeResize="1">
          <a:picLocks noChangeAspect="1"/>
        </xdr:cNvPicPr>
      </xdr:nvPicPr>
      <xdr:blipFill>
        <a:blip r:embed="rId2"/>
        <a:stretch>
          <a:fillRect/>
        </a:stretch>
      </xdr:blipFill>
      <xdr:spPr>
        <a:xfrm>
          <a:off x="3095625" y="9525"/>
          <a:ext cx="1866900" cy="180975"/>
        </a:xfrm>
        <a:prstGeom prst="rect">
          <a:avLst/>
        </a:prstGeom>
        <a:noFill/>
        <a:ln w="9525" cmpd="sng">
          <a:noFill/>
        </a:ln>
      </xdr:spPr>
    </xdr:pic>
    <xdr:clientData/>
  </xdr:twoCellAnchor>
  <xdr:twoCellAnchor editAs="oneCell">
    <xdr:from>
      <xdr:col>0</xdr:col>
      <xdr:colOff>1438275</xdr:colOff>
      <xdr:row>31</xdr:row>
      <xdr:rowOff>66675</xdr:rowOff>
    </xdr:from>
    <xdr:to>
      <xdr:col>1</xdr:col>
      <xdr:colOff>304800</xdr:colOff>
      <xdr:row>34</xdr:row>
      <xdr:rowOff>19050</xdr:rowOff>
    </xdr:to>
    <xdr:pic>
      <xdr:nvPicPr>
        <xdr:cNvPr id="3" name="CommandButton1"/>
        <xdr:cNvPicPr preferRelativeResize="1">
          <a:picLocks noChangeAspect="1"/>
        </xdr:cNvPicPr>
      </xdr:nvPicPr>
      <xdr:blipFill>
        <a:blip r:embed="rId3"/>
        <a:stretch>
          <a:fillRect/>
        </a:stretch>
      </xdr:blipFill>
      <xdr:spPr>
        <a:xfrm>
          <a:off x="1438275" y="6686550"/>
          <a:ext cx="1085850"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38</xdr:row>
      <xdr:rowOff>0</xdr:rowOff>
    </xdr:from>
    <xdr:to>
      <xdr:col>9</xdr:col>
      <xdr:colOff>219075</xdr:colOff>
      <xdr:row>38</xdr:row>
      <xdr:rowOff>0</xdr:rowOff>
    </xdr:to>
    <xdr:graphicFrame>
      <xdr:nvGraphicFramePr>
        <xdr:cNvPr id="1" name="Chart 1"/>
        <xdr:cNvGraphicFramePr/>
      </xdr:nvGraphicFramePr>
      <xdr:xfrm>
        <a:off x="4438650" y="7610475"/>
        <a:ext cx="504825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38</xdr:row>
      <xdr:rowOff>0</xdr:rowOff>
    </xdr:from>
    <xdr:to>
      <xdr:col>9</xdr:col>
      <xdr:colOff>219075</xdr:colOff>
      <xdr:row>38</xdr:row>
      <xdr:rowOff>0</xdr:rowOff>
    </xdr:to>
    <xdr:graphicFrame>
      <xdr:nvGraphicFramePr>
        <xdr:cNvPr id="1" name="Chart 1"/>
        <xdr:cNvGraphicFramePr/>
      </xdr:nvGraphicFramePr>
      <xdr:xfrm>
        <a:off x="4324350" y="7734300"/>
        <a:ext cx="5048250" cy="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36</xdr:row>
      <xdr:rowOff>0</xdr:rowOff>
    </xdr:from>
    <xdr:to>
      <xdr:col>9</xdr:col>
      <xdr:colOff>219075</xdr:colOff>
      <xdr:row>36</xdr:row>
      <xdr:rowOff>0</xdr:rowOff>
    </xdr:to>
    <xdr:graphicFrame>
      <xdr:nvGraphicFramePr>
        <xdr:cNvPr id="1" name="Chart 1"/>
        <xdr:cNvGraphicFramePr/>
      </xdr:nvGraphicFramePr>
      <xdr:xfrm>
        <a:off x="4295775" y="7343775"/>
        <a:ext cx="5048250"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38</xdr:row>
      <xdr:rowOff>0</xdr:rowOff>
    </xdr:from>
    <xdr:to>
      <xdr:col>9</xdr:col>
      <xdr:colOff>219075</xdr:colOff>
      <xdr:row>38</xdr:row>
      <xdr:rowOff>0</xdr:rowOff>
    </xdr:to>
    <xdr:graphicFrame>
      <xdr:nvGraphicFramePr>
        <xdr:cNvPr id="1" name="Chart 1"/>
        <xdr:cNvGraphicFramePr/>
      </xdr:nvGraphicFramePr>
      <xdr:xfrm>
        <a:off x="4371975" y="7715250"/>
        <a:ext cx="504825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O37"/>
  <sheetViews>
    <sheetView workbookViewId="0" topLeftCell="A1">
      <selection activeCell="C31" sqref="C31"/>
    </sheetView>
  </sheetViews>
  <sheetFormatPr defaultColWidth="9.140625" defaultRowHeight="12.75"/>
  <cols>
    <col min="1" max="16384" width="9.140625" style="447" customWidth="1"/>
  </cols>
  <sheetData>
    <row r="1" ht="14.25" customHeight="1">
      <c r="A1" s="50" t="s">
        <v>292</v>
      </c>
    </row>
    <row r="2" spans="1:12" ht="12.75">
      <c r="A2" s="23" t="s">
        <v>293</v>
      </c>
      <c r="B2" s="23"/>
      <c r="C2" s="23"/>
      <c r="D2" s="23"/>
      <c r="E2" s="23"/>
      <c r="F2" s="23"/>
      <c r="G2" s="23"/>
      <c r="H2" s="23"/>
      <c r="I2" s="23"/>
      <c r="J2" s="23"/>
      <c r="K2" s="23"/>
      <c r="L2" s="23"/>
    </row>
    <row r="3" spans="1:12" ht="12.75">
      <c r="A3" s="23" t="s">
        <v>294</v>
      </c>
      <c r="B3" s="23"/>
      <c r="C3" s="23"/>
      <c r="D3" s="23"/>
      <c r="E3" s="23"/>
      <c r="F3" s="23"/>
      <c r="G3" s="23"/>
      <c r="H3" s="23"/>
      <c r="I3" s="23"/>
      <c r="J3" s="23"/>
      <c r="K3" s="23"/>
      <c r="L3" s="23"/>
    </row>
    <row r="4" spans="1:12" ht="12.75">
      <c r="A4" s="23" t="s">
        <v>295</v>
      </c>
      <c r="B4" s="23"/>
      <c r="C4" s="23"/>
      <c r="D4" s="23"/>
      <c r="E4" s="23"/>
      <c r="F4" s="23"/>
      <c r="G4" s="23"/>
      <c r="H4" s="23"/>
      <c r="I4" s="23"/>
      <c r="J4" s="23"/>
      <c r="K4" s="23"/>
      <c r="L4" s="23"/>
    </row>
    <row r="6" spans="1:2" ht="15.75">
      <c r="A6" s="50" t="s">
        <v>296</v>
      </c>
      <c r="B6" s="23"/>
    </row>
    <row r="7" ht="12.75">
      <c r="A7" s="23" t="s">
        <v>297</v>
      </c>
    </row>
    <row r="8" ht="12.75">
      <c r="A8" s="23" t="s">
        <v>298</v>
      </c>
    </row>
    <row r="9" ht="12.75">
      <c r="A9" s="23" t="s">
        <v>299</v>
      </c>
    </row>
    <row r="10" ht="12.75">
      <c r="A10" s="23" t="s">
        <v>300</v>
      </c>
    </row>
    <row r="11" spans="1:2" ht="12.75">
      <c r="A11" s="23" t="s">
        <v>301</v>
      </c>
      <c r="B11" s="23"/>
    </row>
    <row r="12" ht="12.75">
      <c r="B12" s="23"/>
    </row>
    <row r="13" spans="1:3" ht="15.75">
      <c r="A13" s="50" t="s">
        <v>302</v>
      </c>
      <c r="B13" s="164"/>
      <c r="C13" s="23"/>
    </row>
    <row r="14" spans="1:3" ht="15.75">
      <c r="A14" s="50"/>
      <c r="B14" s="23" t="s">
        <v>303</v>
      </c>
      <c r="C14" s="23"/>
    </row>
    <row r="15" spans="1:3" ht="12.75">
      <c r="A15" s="23"/>
      <c r="B15" s="23" t="s">
        <v>304</v>
      </c>
      <c r="C15" s="23"/>
    </row>
    <row r="16" spans="1:3" ht="12.75">
      <c r="A16" s="23"/>
      <c r="B16" s="23" t="s">
        <v>305</v>
      </c>
      <c r="C16" s="23"/>
    </row>
    <row r="17" spans="1:3" ht="12.75">
      <c r="A17" s="23"/>
      <c r="B17" s="23" t="s">
        <v>306</v>
      </c>
      <c r="C17" s="23"/>
    </row>
    <row r="18" spans="1:3" ht="12.75">
      <c r="A18" s="23"/>
      <c r="B18" s="23"/>
      <c r="C18" s="23" t="s">
        <v>307</v>
      </c>
    </row>
    <row r="19" spans="1:3" ht="12.75">
      <c r="A19" s="23"/>
      <c r="B19" s="23"/>
      <c r="C19" s="402" t="s">
        <v>308</v>
      </c>
    </row>
    <row r="20" spans="1:3" ht="12.75">
      <c r="A20" s="23"/>
      <c r="B20" s="23" t="s">
        <v>309</v>
      </c>
      <c r="C20" s="23"/>
    </row>
    <row r="21" spans="1:3" ht="12.75">
      <c r="A21" s="23"/>
      <c r="B21" s="23" t="s">
        <v>310</v>
      </c>
      <c r="C21" s="23"/>
    </row>
    <row r="22" spans="1:15" ht="12.75">
      <c r="A22" s="23"/>
      <c r="C22" s="23" t="s">
        <v>307</v>
      </c>
      <c r="O22" s="401" t="s">
        <v>311</v>
      </c>
    </row>
    <row r="23" spans="1:3" ht="12.75">
      <c r="A23" s="23"/>
      <c r="B23" s="23" t="s">
        <v>312</v>
      </c>
      <c r="C23" s="23"/>
    </row>
    <row r="24" spans="1:3" ht="12.75">
      <c r="A24" s="23"/>
      <c r="B24" s="23"/>
      <c r="C24" s="23" t="s">
        <v>313</v>
      </c>
    </row>
    <row r="25" spans="1:3" ht="12.75">
      <c r="A25" s="23"/>
      <c r="B25" s="23" t="s">
        <v>314</v>
      </c>
      <c r="C25" s="23"/>
    </row>
    <row r="26" spans="1:3" ht="12.75">
      <c r="A26" s="23"/>
      <c r="B26" s="23" t="s">
        <v>315</v>
      </c>
      <c r="C26" s="23"/>
    </row>
    <row r="27" spans="1:3" ht="12.75">
      <c r="A27" s="23"/>
      <c r="B27" s="23" t="s">
        <v>316</v>
      </c>
      <c r="C27" s="23"/>
    </row>
    <row r="28" spans="1:3" ht="12.75">
      <c r="A28" s="23"/>
      <c r="B28" s="23" t="s">
        <v>317</v>
      </c>
      <c r="C28" s="23"/>
    </row>
    <row r="30" ht="15.75">
      <c r="A30" s="50" t="s">
        <v>318</v>
      </c>
    </row>
    <row r="31" ht="12.75">
      <c r="A31" s="23" t="s">
        <v>319</v>
      </c>
    </row>
    <row r="32" ht="12.75">
      <c r="A32" s="23" t="s">
        <v>320</v>
      </c>
    </row>
    <row r="33" ht="12.75">
      <c r="A33" s="23" t="s">
        <v>321</v>
      </c>
    </row>
    <row r="34" ht="12.75">
      <c r="A34" s="23" t="s">
        <v>322</v>
      </c>
    </row>
    <row r="35" ht="12.75">
      <c r="A35" s="23" t="s">
        <v>323</v>
      </c>
    </row>
    <row r="36" ht="12.75">
      <c r="A36" s="23" t="s">
        <v>324</v>
      </c>
    </row>
    <row r="37" ht="12.75">
      <c r="A37" s="23" t="s">
        <v>325</v>
      </c>
    </row>
  </sheetData>
  <sheetProtection selectLockedCells="1"/>
  <printOptions/>
  <pageMargins left="0.75" right="0.75" top="1" bottom="1" header="0.5" footer="0.5"/>
  <pageSetup fitToHeight="1" fitToWidth="1"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sheetPr codeName="Sheet12">
    <pageSetUpPr fitToPage="1"/>
  </sheetPr>
  <dimension ref="A1:AY55"/>
  <sheetViews>
    <sheetView workbookViewId="0" topLeftCell="A1">
      <selection activeCell="J11" sqref="J11"/>
    </sheetView>
  </sheetViews>
  <sheetFormatPr defaultColWidth="9.140625" defaultRowHeight="12.75"/>
  <cols>
    <col min="1" max="51" width="5.7109375" style="135" customWidth="1"/>
    <col min="52" max="16384" width="9.140625" style="135" customWidth="1"/>
  </cols>
  <sheetData>
    <row r="1" ht="12.75">
      <c r="A1" s="163" t="s">
        <v>505</v>
      </c>
    </row>
    <row r="2" ht="12.75">
      <c r="A2" s="163"/>
    </row>
    <row r="3" ht="12.75">
      <c r="A3" s="160" t="s">
        <v>506</v>
      </c>
    </row>
    <row r="4" spans="1:2" ht="12.75">
      <c r="A4" s="476"/>
      <c r="B4" s="166" t="s">
        <v>507</v>
      </c>
    </row>
    <row r="5" spans="1:2" ht="12.75">
      <c r="A5" s="135" t="s">
        <v>508</v>
      </c>
      <c r="B5" s="137"/>
    </row>
    <row r="6" ht="12.75">
      <c r="C6" s="137"/>
    </row>
    <row r="7" spans="2:19" ht="12.75">
      <c r="B7" s="167" t="s">
        <v>509</v>
      </c>
      <c r="C7" s="168"/>
      <c r="D7" s="169"/>
      <c r="E7" s="169"/>
      <c r="F7" s="169"/>
      <c r="G7" s="169"/>
      <c r="H7" s="169"/>
      <c r="I7" s="169"/>
      <c r="J7" s="169"/>
      <c r="K7" s="169"/>
      <c r="L7" s="169"/>
      <c r="M7" s="169"/>
      <c r="N7" s="169"/>
      <c r="O7" s="169"/>
      <c r="P7" s="169"/>
      <c r="Q7" s="169"/>
      <c r="R7" s="169"/>
      <c r="S7" s="169"/>
    </row>
    <row r="8" ht="12.75">
      <c r="A8" s="163"/>
    </row>
    <row r="10" spans="1:51" ht="12.75">
      <c r="A10" s="98">
        <v>1980</v>
      </c>
      <c r="B10" s="98">
        <v>1981</v>
      </c>
      <c r="C10" s="98">
        <v>1982</v>
      </c>
      <c r="D10" s="98">
        <v>1983</v>
      </c>
      <c r="E10" s="98">
        <v>1984</v>
      </c>
      <c r="F10" s="98">
        <v>1985</v>
      </c>
      <c r="G10" s="98">
        <v>1986</v>
      </c>
      <c r="H10" s="98">
        <v>1987</v>
      </c>
      <c r="I10" s="98">
        <v>1988</v>
      </c>
      <c r="J10" s="98">
        <v>1989</v>
      </c>
      <c r="K10" s="98">
        <v>1990</v>
      </c>
      <c r="L10" s="98">
        <v>1991</v>
      </c>
      <c r="M10" s="98">
        <v>1992</v>
      </c>
      <c r="N10" s="98">
        <v>1993</v>
      </c>
      <c r="O10" s="98">
        <v>1994</v>
      </c>
      <c r="P10" s="98">
        <v>1995</v>
      </c>
      <c r="Q10" s="98">
        <v>1996</v>
      </c>
      <c r="R10" s="98">
        <v>1997</v>
      </c>
      <c r="S10" s="98">
        <v>1998</v>
      </c>
      <c r="T10" s="98">
        <v>1999</v>
      </c>
      <c r="U10" s="98">
        <v>2000</v>
      </c>
      <c r="V10" s="98">
        <v>2001</v>
      </c>
      <c r="W10" s="98">
        <v>2002</v>
      </c>
      <c r="X10" s="98">
        <v>2003</v>
      </c>
      <c r="Y10" s="98">
        <v>2004</v>
      </c>
      <c r="Z10" s="98">
        <v>2005</v>
      </c>
      <c r="AA10" s="98">
        <f>Z10+1</f>
        <v>2006</v>
      </c>
      <c r="AB10" s="98">
        <f aca="true" t="shared" si="0" ref="AB10:AY10">AA10+1</f>
        <v>2007</v>
      </c>
      <c r="AC10" s="98">
        <f t="shared" si="0"/>
        <v>2008</v>
      </c>
      <c r="AD10" s="98">
        <f t="shared" si="0"/>
        <v>2009</v>
      </c>
      <c r="AE10" s="260">
        <f t="shared" si="0"/>
        <v>2010</v>
      </c>
      <c r="AF10" s="260">
        <f t="shared" si="0"/>
        <v>2011</v>
      </c>
      <c r="AG10" s="260">
        <f t="shared" si="0"/>
        <v>2012</v>
      </c>
      <c r="AH10" s="260">
        <f t="shared" si="0"/>
        <v>2013</v>
      </c>
      <c r="AI10" s="260">
        <f t="shared" si="0"/>
        <v>2014</v>
      </c>
      <c r="AJ10" s="260">
        <f t="shared" si="0"/>
        <v>2015</v>
      </c>
      <c r="AK10" s="260">
        <f t="shared" si="0"/>
        <v>2016</v>
      </c>
      <c r="AL10" s="260">
        <f t="shared" si="0"/>
        <v>2017</v>
      </c>
      <c r="AM10" s="260">
        <f t="shared" si="0"/>
        <v>2018</v>
      </c>
      <c r="AN10" s="260">
        <f t="shared" si="0"/>
        <v>2019</v>
      </c>
      <c r="AO10" s="260">
        <f t="shared" si="0"/>
        <v>2020</v>
      </c>
      <c r="AP10" s="260">
        <f t="shared" si="0"/>
        <v>2021</v>
      </c>
      <c r="AQ10" s="260">
        <f t="shared" si="0"/>
        <v>2022</v>
      </c>
      <c r="AR10" s="260">
        <f t="shared" si="0"/>
        <v>2023</v>
      </c>
      <c r="AS10" s="260">
        <f t="shared" si="0"/>
        <v>2024</v>
      </c>
      <c r="AT10" s="260">
        <f t="shared" si="0"/>
        <v>2025</v>
      </c>
      <c r="AU10" s="260">
        <f t="shared" si="0"/>
        <v>2026</v>
      </c>
      <c r="AV10" s="260">
        <f t="shared" si="0"/>
        <v>2027</v>
      </c>
      <c r="AW10" s="260">
        <f t="shared" si="0"/>
        <v>2028</v>
      </c>
      <c r="AX10" s="260">
        <f t="shared" si="0"/>
        <v>2029</v>
      </c>
      <c r="AY10" s="260">
        <f t="shared" si="0"/>
        <v>2030</v>
      </c>
    </row>
    <row r="11" spans="1:51" s="136" customFormat="1" ht="12.75">
      <c r="A11" s="165">
        <f>'EPP model'!$U$3</f>
        <v>0</v>
      </c>
      <c r="B11" s="165">
        <f>'EPP model'!$U$13</f>
        <v>0.001433427700741552</v>
      </c>
      <c r="C11" s="165">
        <f>'EPP model'!$U$23</f>
        <v>0.001926852671376651</v>
      </c>
      <c r="D11" s="165">
        <f>'EPP model'!$U$33</f>
        <v>0.002572042573184749</v>
      </c>
      <c r="E11" s="165">
        <f>'EPP model'!$U$43</f>
        <v>0.003414536465608593</v>
      </c>
      <c r="F11" s="165">
        <f>'EPP model'!$U$53</f>
        <v>0.004512623649978721</v>
      </c>
      <c r="G11" s="165">
        <f>'EPP model'!$U$63</f>
        <v>0.005940627871452065</v>
      </c>
      <c r="H11" s="165">
        <f>'EPP model'!$U$73</f>
        <v>0.007792890546670848</v>
      </c>
      <c r="I11" s="165">
        <f>'EPP model'!$U$83</f>
        <v>0.010188509859584038</v>
      </c>
      <c r="J11" s="165">
        <f>'EPP model'!$U$93</f>
        <v>0.013277168985159328</v>
      </c>
      <c r="K11" s="165">
        <f>'EPP model'!$U$103</f>
        <v>0.01736353545229709</v>
      </c>
      <c r="L11" s="165">
        <f>'EPP model'!$U$113</f>
        <v>0.022446320933154053</v>
      </c>
      <c r="M11" s="165">
        <f>'EPP model'!$U$123</f>
        <v>0.028912493669728163</v>
      </c>
      <c r="N11" s="165">
        <f>'EPP model'!$U$133</f>
        <v>0.037114326769036865</v>
      </c>
      <c r="O11" s="165">
        <f>'EPP model'!$U$143</f>
        <v>0.047449052922190836</v>
      </c>
      <c r="P11" s="165">
        <f>'EPP model'!$U$153</f>
        <v>0.06040885663726362</v>
      </c>
      <c r="Q11" s="165">
        <f>'EPP model'!$U$163</f>
        <v>0.07654713707743274</v>
      </c>
      <c r="R11" s="165">
        <f>'EPP model'!$U$173</f>
        <v>0.09654099009320026</v>
      </c>
      <c r="S11" s="165">
        <f>'EPP model'!$U$183</f>
        <v>0.12089363357172417</v>
      </c>
      <c r="T11" s="165">
        <f>'EPP model'!$U$193</f>
        <v>0.15008631219913882</v>
      </c>
      <c r="U11" s="165">
        <f>'EPP model'!$U$203</f>
        <v>0.18441372706267692</v>
      </c>
      <c r="V11" s="165">
        <f>'EPP model'!$U$213</f>
        <v>0.22385245640539952</v>
      </c>
      <c r="W11" s="165">
        <f>'EPP model'!$U$223</f>
        <v>0.2679503673235368</v>
      </c>
      <c r="X11" s="165">
        <f>'EPP model'!$U$233</f>
        <v>0.3157409665407064</v>
      </c>
      <c r="Y11" s="165">
        <f>'EPP model'!$U$243</f>
        <v>0.36573828906041717</v>
      </c>
      <c r="Z11" s="165">
        <f>'EPP model'!$U$253</f>
        <v>0.4160378400007675</v>
      </c>
      <c r="AA11" s="165">
        <f>'EPP model'!$U$263</f>
        <v>0.46452073305837577</v>
      </c>
      <c r="AB11" s="165">
        <f>'EPP model'!$U$273</f>
        <v>0.5091188894159357</v>
      </c>
      <c r="AC11" s="165">
        <f>'EPP model'!$U$283</f>
        <v>0.548072896359863</v>
      </c>
      <c r="AD11" s="165">
        <f>'EPP model'!$U$293</f>
        <v>0.5801172220114656</v>
      </c>
      <c r="AE11" s="261">
        <f>'EPP model'!$U$303</f>
        <v>0.6045589333430244</v>
      </c>
      <c r="AF11" s="261">
        <f>'EPP model'!$U$313</f>
        <v>0.621256475760617</v>
      </c>
      <c r="AG11" s="261">
        <f>'EPP model'!$U$323</f>
        <v>0.6305312254812578</v>
      </c>
      <c r="AH11" s="261">
        <f>'EPP model'!$U$333</f>
        <v>0.6330411943370079</v>
      </c>
      <c r="AI11" s="261">
        <f>'EPP model'!$U$343</f>
        <v>0.6296605756377476</v>
      </c>
      <c r="AJ11" s="261">
        <f>'EPP model'!$U$353</f>
        <v>0.6213787365640865</v>
      </c>
      <c r="AK11" s="261">
        <f>'EPP model'!$U$363</f>
        <v>0.6092210386348526</v>
      </c>
      <c r="AL11" s="261">
        <f>'EPP model'!$U$373</f>
        <v>0.5941860692756439</v>
      </c>
      <c r="AM11" s="261">
        <f>'EPP model'!$U$383</f>
        <v>0.5771928632427872</v>
      </c>
      <c r="AN11" s="261">
        <f>'EPP model'!$U$393</f>
        <v>0.5590346179071974</v>
      </c>
      <c r="AO11" s="261">
        <f>'EPP model'!$U$403</f>
        <v>0.540339769881866</v>
      </c>
      <c r="AP11" s="261">
        <f>'EPP model'!$U$413</f>
        <v>0.5215449499266299</v>
      </c>
      <c r="AQ11" s="261">
        <f>'EPP model'!$U$423</f>
        <v>0.5028852136134849</v>
      </c>
      <c r="AR11" s="261">
        <f>'EPP model'!$U$433</f>
        <v>0.48440494105827897</v>
      </c>
      <c r="AS11" s="261">
        <f>'EPP model'!$U$443</f>
        <v>0.4659876299536705</v>
      </c>
      <c r="AT11" s="261">
        <f>'EPP model'!$U$453</f>
        <v>0.4473978955840759</v>
      </c>
      <c r="AU11" s="261">
        <f>'EPP model'!$U$463</f>
        <v>0.428325896902634</v>
      </c>
      <c r="AV11" s="261">
        <f>'EPP model'!$U$473</f>
        <v>0.40842458472843357</v>
      </c>
      <c r="AW11" s="261">
        <f>'EPP model'!$U$483</f>
        <v>0.3873326944293452</v>
      </c>
      <c r="AX11" s="261">
        <f>'EPP model'!$U$493</f>
        <v>0.36468015425122485</v>
      </c>
      <c r="AY11" s="261">
        <f>'EPP model'!$U$503</f>
        <v>0.3400756333396737</v>
      </c>
    </row>
    <row r="18" ht="12.75">
      <c r="B18" s="137"/>
    </row>
    <row r="19" ht="12.75">
      <c r="B19" s="137"/>
    </row>
    <row r="20" ht="12.75">
      <c r="B20" s="137"/>
    </row>
    <row r="21" ht="12.75">
      <c r="B21" s="137"/>
    </row>
    <row r="22" ht="12.75">
      <c r="B22" s="137"/>
    </row>
    <row r="23" ht="12.75">
      <c r="B23" s="137"/>
    </row>
    <row r="24" ht="12.75">
      <c r="B24" s="137"/>
    </row>
    <row r="25" ht="12.75">
      <c r="B25" s="137"/>
    </row>
    <row r="26" ht="12.75">
      <c r="B26" s="137"/>
    </row>
    <row r="27" ht="12.75">
      <c r="B27" s="137"/>
    </row>
    <row r="28" ht="12.75">
      <c r="B28" s="137"/>
    </row>
    <row r="29" ht="12.75">
      <c r="B29" s="137"/>
    </row>
    <row r="30" ht="12.75">
      <c r="B30" s="137"/>
    </row>
    <row r="31" ht="12.75">
      <c r="B31" s="137"/>
    </row>
    <row r="32" ht="12.75">
      <c r="B32" s="137"/>
    </row>
    <row r="33" ht="12.75">
      <c r="B33" s="137"/>
    </row>
    <row r="34" ht="12.75">
      <c r="B34" s="137"/>
    </row>
    <row r="35" ht="12.75">
      <c r="B35" s="137"/>
    </row>
    <row r="36" ht="12.75">
      <c r="B36" s="137"/>
    </row>
    <row r="37" ht="12.75">
      <c r="B37" s="137"/>
    </row>
    <row r="38" ht="12.75">
      <c r="B38" s="137"/>
    </row>
    <row r="39" ht="12.75">
      <c r="B39" s="137"/>
    </row>
    <row r="40" ht="12.75">
      <c r="B40" s="137"/>
    </row>
    <row r="41" ht="12.75">
      <c r="B41" s="137"/>
    </row>
    <row r="42" ht="12.75">
      <c r="B42" s="137"/>
    </row>
    <row r="43" ht="12.75">
      <c r="B43" s="137"/>
    </row>
    <row r="44" ht="12.75">
      <c r="B44" s="137"/>
    </row>
    <row r="45" ht="12.75">
      <c r="B45" s="137"/>
    </row>
    <row r="46" ht="12.75">
      <c r="B46" s="137"/>
    </row>
    <row r="47" ht="12.75">
      <c r="B47" s="137"/>
    </row>
    <row r="48" ht="12.75">
      <c r="B48" s="137"/>
    </row>
    <row r="49" ht="12.75">
      <c r="B49" s="137"/>
    </row>
    <row r="50" ht="12.75">
      <c r="B50" s="137"/>
    </row>
    <row r="51" ht="12.75">
      <c r="B51" s="137"/>
    </row>
    <row r="52" ht="12.75">
      <c r="B52" s="137"/>
    </row>
    <row r="53" ht="12.75">
      <c r="B53" s="137"/>
    </row>
    <row r="54" ht="12.75">
      <c r="B54" s="137"/>
    </row>
    <row r="55" ht="12.75">
      <c r="B55" s="137"/>
    </row>
  </sheetData>
  <printOptions/>
  <pageMargins left="0.5" right="0.5" top="1" bottom="1" header="0.5" footer="0.5"/>
  <pageSetup fitToHeight="1" fitToWidth="1" horizontalDpi="600" verticalDpi="600" orientation="landscape" scale="43"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AK38"/>
  <sheetViews>
    <sheetView workbookViewId="0" topLeftCell="A1">
      <pane xSplit="1" ySplit="2" topLeftCell="B3" activePane="bottomRight" state="frozen"/>
      <selection pane="topLeft" activeCell="N15" sqref="N15"/>
      <selection pane="topRight" activeCell="N15" sqref="N15"/>
      <selection pane="bottomLeft" activeCell="N15" sqref="N15"/>
      <selection pane="bottomRight" activeCell="F21" sqref="F21"/>
    </sheetView>
  </sheetViews>
  <sheetFormatPr defaultColWidth="9.140625" defaultRowHeight="12.75"/>
  <cols>
    <col min="1" max="1" width="26.140625" style="0" customWidth="1"/>
    <col min="2" max="6" width="12.7109375" style="0" customWidth="1"/>
    <col min="7" max="12" width="15.7109375" style="0" customWidth="1"/>
    <col min="13" max="13" width="15.28125" style="0" bestFit="1" customWidth="1"/>
  </cols>
  <sheetData>
    <row r="1" spans="1:13" ht="30" customHeight="1">
      <c r="A1" s="584" t="str">
        <f>'Set-up'!B1</f>
        <v>Belize</v>
      </c>
      <c r="B1" s="579" t="s">
        <v>477</v>
      </c>
      <c r="C1" s="579"/>
      <c r="D1" s="579" t="s">
        <v>348</v>
      </c>
      <c r="E1" s="579"/>
      <c r="F1" s="579"/>
      <c r="G1" s="576" t="s">
        <v>478</v>
      </c>
      <c r="H1" s="576"/>
      <c r="I1" s="579"/>
      <c r="J1" s="579"/>
      <c r="K1" s="579"/>
      <c r="L1" s="579"/>
      <c r="M1" s="576" t="s">
        <v>486</v>
      </c>
    </row>
    <row r="2" spans="1:37" ht="30" customHeight="1">
      <c r="A2" s="585"/>
      <c r="B2" s="99" t="s">
        <v>342</v>
      </c>
      <c r="C2" s="99" t="s">
        <v>343</v>
      </c>
      <c r="D2" s="99" t="s">
        <v>342</v>
      </c>
      <c r="E2" s="99" t="s">
        <v>479</v>
      </c>
      <c r="F2" s="99" t="s">
        <v>343</v>
      </c>
      <c r="G2" s="99" t="s">
        <v>480</v>
      </c>
      <c r="H2" s="99" t="s">
        <v>481</v>
      </c>
      <c r="I2" s="99" t="s">
        <v>482</v>
      </c>
      <c r="J2" s="99" t="s">
        <v>483</v>
      </c>
      <c r="K2" s="99" t="s">
        <v>484</v>
      </c>
      <c r="L2" s="99" t="s">
        <v>485</v>
      </c>
      <c r="M2" s="576"/>
      <c r="N2" s="1"/>
      <c r="O2" s="1"/>
      <c r="P2" s="1"/>
      <c r="Q2" s="1"/>
      <c r="R2" s="1"/>
      <c r="S2" s="1"/>
      <c r="T2" s="1"/>
      <c r="U2" s="1"/>
      <c r="V2" s="1"/>
      <c r="W2" s="1"/>
      <c r="X2" s="1"/>
      <c r="Y2" s="1"/>
      <c r="Z2" s="1"/>
      <c r="AA2" s="1"/>
      <c r="AB2" s="1"/>
      <c r="AC2" s="1"/>
      <c r="AD2" s="1"/>
      <c r="AE2" s="1"/>
      <c r="AF2" s="1"/>
      <c r="AG2" s="1"/>
      <c r="AH2" s="1"/>
      <c r="AI2" s="1"/>
      <c r="AJ2" s="1"/>
      <c r="AK2" s="1"/>
    </row>
    <row r="3" spans="1:37" s="1" customFormat="1" ht="15" customHeight="1">
      <c r="A3" s="474" t="s">
        <v>501</v>
      </c>
      <c r="B3" s="3"/>
      <c r="C3" s="3"/>
      <c r="D3" s="3"/>
      <c r="E3" s="3"/>
      <c r="F3" s="3"/>
      <c r="G3" s="3"/>
      <c r="H3" s="3"/>
      <c r="I3" s="3"/>
      <c r="J3" s="3"/>
      <c r="K3" s="3"/>
      <c r="L3" s="3"/>
      <c r="M3" s="3"/>
      <c r="N3"/>
      <c r="O3"/>
      <c r="P3"/>
      <c r="Q3"/>
      <c r="R3"/>
      <c r="S3"/>
      <c r="T3"/>
      <c r="U3"/>
      <c r="V3"/>
      <c r="W3"/>
      <c r="X3"/>
      <c r="Y3"/>
      <c r="Z3"/>
      <c r="AA3"/>
      <c r="AB3"/>
      <c r="AC3"/>
      <c r="AD3"/>
      <c r="AE3"/>
      <c r="AF3"/>
      <c r="AG3"/>
      <c r="AH3"/>
      <c r="AI3"/>
      <c r="AJ3"/>
      <c r="AK3"/>
    </row>
    <row r="4" spans="1:13" ht="15" customHeight="1">
      <c r="A4" s="4" t="str">
        <f>'Set-up'!A10</f>
        <v>ПИН</v>
      </c>
      <c r="B4" s="5">
        <f>'2010'!B4*(1+'Set-up'!F10)^(B35-'2010'!B35)</f>
        <v>68212.31018278137</v>
      </c>
      <c r="C4" s="5">
        <f>'2010'!C4*(1+'Set-up'!F10)^(B35-'2010'!B35)</f>
        <v>93018.10408445499</v>
      </c>
      <c r="D4" s="6">
        <f>MIN('Set-up'!H10+'Set-up'!O10*LN($B$35-Base_year),'Set-up'!$J10)</f>
        <v>0.09</v>
      </c>
      <c r="E4" s="105">
        <f aca="true" t="shared" si="0" ref="E4:E11">(D4+F4)/2</f>
        <v>0.09</v>
      </c>
      <c r="F4" s="6">
        <f>MIN('Set-up'!I10+'Set-up'!Q10*LN($B$35-Base_year),'Set-up'!$J10)</f>
        <v>0.09</v>
      </c>
      <c r="G4" s="7">
        <f aca="true" t="shared" si="1" ref="G4:G11">B4*D4</f>
        <v>6139.107916450323</v>
      </c>
      <c r="H4" s="7">
        <f aca="true" t="shared" si="2" ref="H4:H11">B4*E4</f>
        <v>6139.107916450323</v>
      </c>
      <c r="I4" s="7">
        <f aca="true" t="shared" si="3" ref="I4:I11">B4*F4</f>
        <v>6139.107916450323</v>
      </c>
      <c r="J4" s="7">
        <f aca="true" t="shared" si="4" ref="J4:J11">C4*D4</f>
        <v>8371.629367600948</v>
      </c>
      <c r="K4" s="7">
        <f aca="true" t="shared" si="5" ref="K4:K11">C4*E4</f>
        <v>8371.629367600948</v>
      </c>
      <c r="L4" s="7">
        <f aca="true" t="shared" si="6" ref="L4:L11">C4*F4</f>
        <v>8371.629367600948</v>
      </c>
      <c r="M4" s="8">
        <f>AVERAGE(G4:L4)</f>
        <v>7255.3686420256345</v>
      </c>
    </row>
    <row r="5" spans="1:13" ht="15" customHeight="1">
      <c r="A5" s="4" t="str">
        <f>'Set-up'!A11</f>
        <v>МСМ</v>
      </c>
      <c r="B5" s="5">
        <f>'2010'!B5*(1+'Set-up'!F11)^(B35-'2010'!B35)</f>
        <v>223242.483656873</v>
      </c>
      <c r="C5" s="5">
        <f>'2010'!C5*(1+'Set-up'!F11)^(B35-'2010'!B35)</f>
        <v>334863.72548530955</v>
      </c>
      <c r="D5" s="6">
        <f>MIN('Set-up'!H11+'Set-up'!O11*LN($B$35-Base_year),'Set-up'!$J11)</f>
        <v>0.14</v>
      </c>
      <c r="E5" s="105">
        <f t="shared" si="0"/>
        <v>0.14</v>
      </c>
      <c r="F5" s="6">
        <f>MIN('Set-up'!I11+'Set-up'!Q11*LN($B$35-Base_year),'Set-up'!$J11)</f>
        <v>0.14</v>
      </c>
      <c r="G5" s="7">
        <f t="shared" si="1"/>
        <v>31253.94771196222</v>
      </c>
      <c r="H5" s="7">
        <f t="shared" si="2"/>
        <v>31253.94771196222</v>
      </c>
      <c r="I5" s="7">
        <f t="shared" si="3"/>
        <v>31253.94771196222</v>
      </c>
      <c r="J5" s="7">
        <f t="shared" si="4"/>
        <v>46880.92156794334</v>
      </c>
      <c r="K5" s="7">
        <f t="shared" si="5"/>
        <v>46880.92156794334</v>
      </c>
      <c r="L5" s="7">
        <f t="shared" si="6"/>
        <v>46880.92156794334</v>
      </c>
      <c r="M5" s="8">
        <f>AVERAGE(G5:L5)</f>
        <v>39067.434639952786</v>
      </c>
    </row>
    <row r="6" spans="1:13" ht="15" customHeight="1">
      <c r="A6" s="4" t="str">
        <f>'Set-up'!A12</f>
        <v>РСБ</v>
      </c>
      <c r="B6" s="5">
        <f>'2010'!B6*(1+'Set-up'!F12)^(B35-'2010'!B35)</f>
        <v>69686.89023896167</v>
      </c>
      <c r="C6" s="5">
        <f>'2010'!C6*(1+'Set-up'!F12)^(B35-'2010'!B35)</f>
        <v>104592.53099553775</v>
      </c>
      <c r="D6" s="6">
        <f>MIN('Set-up'!H12+'Set-up'!O12*LN($B$35-Base_year),'Set-up'!$J12)</f>
        <v>0.12</v>
      </c>
      <c r="E6" s="105">
        <f t="shared" si="0"/>
        <v>0.12</v>
      </c>
      <c r="F6" s="6">
        <f>MIN('Set-up'!I12+'Set-up'!Q12*LN($B$35-Base_year),'Set-up'!$J12)</f>
        <v>0.12</v>
      </c>
      <c r="G6" s="7">
        <f t="shared" si="1"/>
        <v>8362.4268286754</v>
      </c>
      <c r="H6" s="7">
        <f t="shared" si="2"/>
        <v>8362.4268286754</v>
      </c>
      <c r="I6" s="7">
        <f t="shared" si="3"/>
        <v>8362.4268286754</v>
      </c>
      <c r="J6" s="7">
        <f t="shared" si="4"/>
        <v>12551.103719464529</v>
      </c>
      <c r="K6" s="7">
        <f t="shared" si="5"/>
        <v>12551.103719464529</v>
      </c>
      <c r="L6" s="7">
        <f t="shared" si="6"/>
        <v>12551.103719464529</v>
      </c>
      <c r="M6" s="8">
        <f>AVERAGE(G6:L6)</f>
        <v>10456.765274069965</v>
      </c>
    </row>
    <row r="7" spans="1:13" ht="15" customHeight="1">
      <c r="A7" s="4" t="str">
        <f>'Set-up'!A13</f>
        <v>Клиенты РСБ</v>
      </c>
      <c r="B7" s="5">
        <f>'2010'!B7*(1+'Set-up'!F13)^(B35-'2010'!B35)</f>
        <v>845377.5915857612</v>
      </c>
      <c r="C7" s="5">
        <f>'2010'!C7*(1+'Set-up'!F13)^(B35-'2010'!B35)</f>
        <v>1147298.160009247</v>
      </c>
      <c r="D7" s="6">
        <f>MIN('Set-up'!H13+'Set-up'!O13*LN($B$35-Base_year),'Set-up'!$J13)</f>
        <v>0.05</v>
      </c>
      <c r="E7" s="105">
        <f t="shared" si="0"/>
        <v>0.05</v>
      </c>
      <c r="F7" s="6">
        <f>MIN('Set-up'!I13+'Set-up'!Q13*LN($B$35-Base_year),'Set-up'!$J13)</f>
        <v>0.05</v>
      </c>
      <c r="G7" s="7">
        <f t="shared" si="1"/>
        <v>42268.87957928806</v>
      </c>
      <c r="H7" s="7">
        <f t="shared" si="2"/>
        <v>42268.87957928806</v>
      </c>
      <c r="I7" s="7">
        <f t="shared" si="3"/>
        <v>42268.87957928806</v>
      </c>
      <c r="J7" s="7">
        <f t="shared" si="4"/>
        <v>57364.908000462354</v>
      </c>
      <c r="K7" s="7">
        <f t="shared" si="5"/>
        <v>57364.908000462354</v>
      </c>
      <c r="L7" s="7">
        <f t="shared" si="6"/>
        <v>57364.908000462354</v>
      </c>
      <c r="M7" s="8">
        <f>AVERAGE(G7,I7:J7,L7)</f>
        <v>49816.893789875205</v>
      </c>
    </row>
    <row r="8" spans="1:13" ht="15" customHeight="1">
      <c r="A8" s="4" t="str">
        <f>'Set-up'!A14</f>
        <v>Дополнительная ГБВР1</v>
      </c>
      <c r="B8" s="5">
        <f>'2010'!B8*(1+'Set-up'!F14)^($B$35-'2010'!$B$35)</f>
        <v>0</v>
      </c>
      <c r="C8" s="5">
        <f>'2010'!C8*(1+'Set-up'!F14)^($B$35-'2010'!$B$35)</f>
        <v>0</v>
      </c>
      <c r="D8" s="6">
        <f>MIN('Set-up'!H14+'Set-up'!O14*LN($B$35-Base_year),'Set-up'!$J14)</f>
        <v>0</v>
      </c>
      <c r="E8" s="105">
        <f t="shared" si="0"/>
        <v>0</v>
      </c>
      <c r="F8" s="6">
        <f>MIN('Set-up'!I14+'Set-up'!Q14*LN($B$35-Base_year),'Set-up'!$J14)</f>
        <v>0</v>
      </c>
      <c r="G8" s="7">
        <f t="shared" si="1"/>
        <v>0</v>
      </c>
      <c r="H8" s="7">
        <f t="shared" si="2"/>
        <v>0</v>
      </c>
      <c r="I8" s="7">
        <f t="shared" si="3"/>
        <v>0</v>
      </c>
      <c r="J8" s="7">
        <f t="shared" si="4"/>
        <v>0</v>
      </c>
      <c r="K8" s="7">
        <f t="shared" si="5"/>
        <v>0</v>
      </c>
      <c r="L8" s="7">
        <f t="shared" si="6"/>
        <v>0</v>
      </c>
      <c r="M8" s="8">
        <f>AVERAGE(G8,I8:J8,L8)</f>
        <v>0</v>
      </c>
    </row>
    <row r="9" spans="1:13" ht="15" customHeight="1">
      <c r="A9" s="4" t="str">
        <f>'Set-up'!A15</f>
        <v>Дополнительная ГБВР2</v>
      </c>
      <c r="B9" s="5">
        <f>'2010'!B9*(1+'Set-up'!F15)^($B$35-'2010'!$B$35)</f>
        <v>0</v>
      </c>
      <c r="C9" s="5">
        <f>'2010'!C9*(1+'Set-up'!F17)^($B$35-'2010'!$B$35)</f>
        <v>0</v>
      </c>
      <c r="D9" s="6">
        <f>MIN('Set-up'!H15+'Set-up'!O15*LN($B$35-Base_year),'Set-up'!$J15)</f>
        <v>0</v>
      </c>
      <c r="E9" s="105">
        <f t="shared" si="0"/>
        <v>0</v>
      </c>
      <c r="F9" s="6">
        <f>MIN('Set-up'!I15+'Set-up'!Q15*LN($B$35-Base_year),'Set-up'!$J15)</f>
        <v>0</v>
      </c>
      <c r="G9" s="7">
        <f t="shared" si="1"/>
        <v>0</v>
      </c>
      <c r="H9" s="7">
        <f t="shared" si="2"/>
        <v>0</v>
      </c>
      <c r="I9" s="7">
        <f t="shared" si="3"/>
        <v>0</v>
      </c>
      <c r="J9" s="7">
        <f t="shared" si="4"/>
        <v>0</v>
      </c>
      <c r="K9" s="7">
        <f t="shared" si="5"/>
        <v>0</v>
      </c>
      <c r="L9" s="7">
        <f t="shared" si="6"/>
        <v>0</v>
      </c>
      <c r="M9" s="8">
        <f>AVERAGE(G9,I9:J9,L9)</f>
        <v>0</v>
      </c>
    </row>
    <row r="10" spans="1:13" ht="15" customHeight="1">
      <c r="A10" s="4" t="str">
        <f>'Set-up'!A16</f>
        <v>Дополнительная ГБВР3</v>
      </c>
      <c r="B10" s="5">
        <f>'2010'!B10*(1+'Set-up'!F16)^($B$35-'2010'!$B$35)</f>
        <v>0</v>
      </c>
      <c r="C10" s="5">
        <f>'2010'!C10*(1+'Set-up'!G16)^($B$35-'2010'!$B$35)</f>
        <v>0</v>
      </c>
      <c r="D10" s="6">
        <f>MIN('Set-up'!H16+'Set-up'!O16*LN($B$35-Base_year),'Set-up'!$J16)</f>
        <v>0</v>
      </c>
      <c r="E10" s="105">
        <f t="shared" si="0"/>
        <v>0</v>
      </c>
      <c r="F10" s="6">
        <f>MIN('Set-up'!I16+'Set-up'!Q16*LN($B$35-Base_year),'Set-up'!$J16)</f>
        <v>0</v>
      </c>
      <c r="G10" s="7">
        <f t="shared" si="1"/>
        <v>0</v>
      </c>
      <c r="H10" s="7">
        <f t="shared" si="2"/>
        <v>0</v>
      </c>
      <c r="I10" s="7">
        <f t="shared" si="3"/>
        <v>0</v>
      </c>
      <c r="J10" s="7">
        <f t="shared" si="4"/>
        <v>0</v>
      </c>
      <c r="K10" s="7">
        <f t="shared" si="5"/>
        <v>0</v>
      </c>
      <c r="L10" s="7">
        <f t="shared" si="6"/>
        <v>0</v>
      </c>
      <c r="M10" s="8">
        <f>AVERAGE(G10,I10:J10,L10)</f>
        <v>0</v>
      </c>
    </row>
    <row r="11" spans="1:13" ht="15" customHeight="1">
      <c r="A11" s="4" t="str">
        <f>'Set-up'!A17</f>
        <v>Дополнительная ГБВР4</v>
      </c>
      <c r="B11" s="5">
        <f>'2010'!B11*(1+'Set-up'!F17)^($B$35-'2010'!$B$35)</f>
        <v>0</v>
      </c>
      <c r="C11" s="5">
        <f>'2010'!C11*(1+'Set-up'!G17)^($B$35-'2010'!$B$35)</f>
        <v>0</v>
      </c>
      <c r="D11" s="6">
        <f>MIN('Set-up'!H17+'Set-up'!O17*LN($B$35-Base_year),'Set-up'!$J17)</f>
        <v>0</v>
      </c>
      <c r="E11" s="105">
        <f t="shared" si="0"/>
        <v>0</v>
      </c>
      <c r="F11" s="6">
        <f>MIN('Set-up'!I17+'Set-up'!Q17*LN($B$35-Base_year),'Set-up'!$J17)</f>
        <v>0</v>
      </c>
      <c r="G11" s="7">
        <f t="shared" si="1"/>
        <v>0</v>
      </c>
      <c r="H11" s="7">
        <f t="shared" si="2"/>
        <v>0</v>
      </c>
      <c r="I11" s="7">
        <f t="shared" si="3"/>
        <v>0</v>
      </c>
      <c r="J11" s="7">
        <f t="shared" si="4"/>
        <v>0</v>
      </c>
      <c r="K11" s="7">
        <f t="shared" si="5"/>
        <v>0</v>
      </c>
      <c r="L11" s="7">
        <f t="shared" si="6"/>
        <v>0</v>
      </c>
      <c r="M11" s="8">
        <f>AVERAGE(G11,I11:J11,L11)</f>
        <v>0</v>
      </c>
    </row>
    <row r="12" spans="1:13" ht="15" customHeight="1">
      <c r="A12" s="475" t="s">
        <v>502</v>
      </c>
      <c r="B12" s="53">
        <f>SUM(B4:B11)</f>
        <v>1206519.2756643773</v>
      </c>
      <c r="C12" s="53">
        <f>SUM(C4:C11)</f>
        <v>1679772.5205745492</v>
      </c>
      <c r="D12" s="53"/>
      <c r="E12" s="24"/>
      <c r="F12" s="53"/>
      <c r="G12" s="53"/>
      <c r="H12" s="53"/>
      <c r="I12" s="53"/>
      <c r="J12" s="53"/>
      <c r="K12" s="53"/>
      <c r="L12" s="53"/>
      <c r="M12" s="53">
        <f>SUM(M4:M11)</f>
        <v>106596.46234592359</v>
      </c>
    </row>
    <row r="13" spans="1:13" ht="15" customHeight="1">
      <c r="A13" s="2"/>
      <c r="B13" s="56"/>
      <c r="C13" s="56"/>
      <c r="D13" s="56"/>
      <c r="E13" s="52"/>
      <c r="F13" s="56"/>
      <c r="G13" s="56"/>
      <c r="H13" s="56"/>
      <c r="I13" s="56"/>
      <c r="J13" s="56"/>
      <c r="K13" s="56"/>
      <c r="L13" s="56"/>
      <c r="M13" s="56"/>
    </row>
    <row r="14" spans="1:13" ht="15" customHeight="1">
      <c r="A14" s="474" t="s">
        <v>499</v>
      </c>
      <c r="B14" s="56"/>
      <c r="C14" s="56"/>
      <c r="D14" s="56"/>
      <c r="E14" s="52"/>
      <c r="F14" s="56"/>
      <c r="G14" s="56"/>
      <c r="H14" s="56"/>
      <c r="I14" s="56"/>
      <c r="J14" s="56"/>
      <c r="K14" s="56"/>
      <c r="L14" s="56"/>
      <c r="M14" s="56"/>
    </row>
    <row r="15" spans="1:13" ht="15" customHeight="1">
      <c r="A15" s="112" t="s">
        <v>500</v>
      </c>
      <c r="B15" s="56"/>
      <c r="C15" s="56"/>
      <c r="D15" s="56"/>
      <c r="E15" s="52"/>
      <c r="F15" s="56"/>
      <c r="G15" s="56"/>
      <c r="H15" s="56"/>
      <c r="I15" s="56"/>
      <c r="J15" s="56"/>
      <c r="K15" s="56"/>
      <c r="L15" s="56"/>
      <c r="M15" s="56"/>
    </row>
    <row r="16" spans="1:13" ht="15" customHeight="1">
      <c r="A16" s="51" t="str">
        <f>'Set-up'!A22</f>
        <v>Партнеры ПИН</v>
      </c>
      <c r="B16" s="5">
        <f>'2010'!B16*(1+'Set-up'!F22)^($B$35-'2010'!$B$35)</f>
        <v>24153.64547387889</v>
      </c>
      <c r="C16" s="5">
        <f>'2010'!C16*(1+'Set-up'!F22)^($B$35-'2010'!$B$35)</f>
        <v>48307.29094775778</v>
      </c>
      <c r="D16" s="6">
        <f>MIN('Set-up'!H22+'Set-up'!O22*LN($B$35-Base_year),'Set-up'!$J22)</f>
        <v>0.025</v>
      </c>
      <c r="E16" s="105">
        <f aca="true" t="shared" si="7" ref="E16:E21">(D16+F16)/2</f>
        <v>0.025</v>
      </c>
      <c r="F16" s="6">
        <f>MIN('Set-up'!I22+'Set-up'!Q22*LN($B$35-Base_year),'Set-up'!$J22)</f>
        <v>0.025</v>
      </c>
      <c r="G16" s="7">
        <f aca="true" t="shared" si="8" ref="G16:G21">B16*D16</f>
        <v>603.8411368469723</v>
      </c>
      <c r="H16" s="7">
        <f aca="true" t="shared" si="9" ref="H16:H21">B16*E16</f>
        <v>603.8411368469723</v>
      </c>
      <c r="I16" s="7">
        <f aca="true" t="shared" si="10" ref="I16:I21">B16*F16</f>
        <v>603.8411368469723</v>
      </c>
      <c r="J16" s="7">
        <f aca="true" t="shared" si="11" ref="J16:J21">C16*D16</f>
        <v>1207.6822736939446</v>
      </c>
      <c r="K16" s="7">
        <f aca="true" t="shared" si="12" ref="K16:K21">C16*E16</f>
        <v>1207.6822736939446</v>
      </c>
      <c r="L16" s="7">
        <f aca="true" t="shared" si="13" ref="L16:L21">C16*F16</f>
        <v>1207.6822736939446</v>
      </c>
      <c r="M16" s="8">
        <f>AVERAGE(G16:L16)</f>
        <v>905.7617052704585</v>
      </c>
    </row>
    <row r="17" spans="1:13" ht="15" customHeight="1">
      <c r="A17" s="51" t="str">
        <f>'Set-up'!A23</f>
        <v>Женщины-партнеры МСМ</v>
      </c>
      <c r="B17" s="5">
        <f>'2010'!B17*(1+'Set-up'!F23)^($B$35-'2010'!$B$35)</f>
        <v>60384.11368469722</v>
      </c>
      <c r="C17" s="5">
        <f>'2010'!C17*(1+'Set-up'!F23)^($B$35-'2010'!$B$35)</f>
        <v>96614.58189551556</v>
      </c>
      <c r="D17" s="6">
        <f>MIN('Set-up'!H23+'Set-up'!O23*LN($B$35-Base_year),'Set-up'!$J23)</f>
        <v>0.04</v>
      </c>
      <c r="E17" s="105">
        <f t="shared" si="7"/>
        <v>0.04</v>
      </c>
      <c r="F17" s="6">
        <f>MIN('Set-up'!I23+'Set-up'!Q23*LN($B$35-Base_year),'Set-up'!$J23)</f>
        <v>0.04</v>
      </c>
      <c r="G17" s="7">
        <f t="shared" si="8"/>
        <v>2415.364547387889</v>
      </c>
      <c r="H17" s="7">
        <f t="shared" si="9"/>
        <v>2415.364547387889</v>
      </c>
      <c r="I17" s="7">
        <f t="shared" si="10"/>
        <v>2415.364547387889</v>
      </c>
      <c r="J17" s="7">
        <f t="shared" si="11"/>
        <v>3864.5832758206225</v>
      </c>
      <c r="K17" s="7">
        <f t="shared" si="12"/>
        <v>3864.5832758206225</v>
      </c>
      <c r="L17" s="7">
        <f t="shared" si="13"/>
        <v>3864.5832758206225</v>
      </c>
      <c r="M17" s="8">
        <f>AVERAGE(G17:L17)</f>
        <v>3139.973911604256</v>
      </c>
    </row>
    <row r="18" spans="1:13" ht="15" customHeight="1">
      <c r="A18" s="51" t="str">
        <f>'Set-up'!A24</f>
        <v>Партнеры клиентов РСБ</v>
      </c>
      <c r="B18" s="5">
        <f>'2010'!B18*(1+'Set-up'!F24)^($B$35-'2010'!$B$35)</f>
        <v>543457.023162275</v>
      </c>
      <c r="C18" s="5">
        <f>'2010'!C18*(1+'Set-up'!F24)^($B$35-'2010'!$B$35)</f>
        <v>724609.3642163667</v>
      </c>
      <c r="D18" s="6">
        <f>MIN('Set-up'!H24+'Set-up'!O24*LN($B$35-Base_year),'Set-up'!$J24)</f>
        <v>0.01</v>
      </c>
      <c r="E18" s="105">
        <f t="shared" si="7"/>
        <v>0.01</v>
      </c>
      <c r="F18" s="6">
        <f>MIN('Set-up'!I24+'Set-up'!Q24*LN($B$35-Base_year),'Set-up'!$J24)</f>
        <v>0.01</v>
      </c>
      <c r="G18" s="7">
        <f t="shared" si="8"/>
        <v>5434.57023162275</v>
      </c>
      <c r="H18" s="7">
        <f t="shared" si="9"/>
        <v>5434.57023162275</v>
      </c>
      <c r="I18" s="7">
        <f t="shared" si="10"/>
        <v>5434.57023162275</v>
      </c>
      <c r="J18" s="7">
        <f t="shared" si="11"/>
        <v>7246.093642163667</v>
      </c>
      <c r="K18" s="7">
        <f t="shared" si="12"/>
        <v>7246.093642163667</v>
      </c>
      <c r="L18" s="7">
        <f t="shared" si="13"/>
        <v>7246.093642163667</v>
      </c>
      <c r="M18" s="8">
        <f>AVERAGE(G18:L18)</f>
        <v>6340.331936893207</v>
      </c>
    </row>
    <row r="19" spans="1:13" ht="15" customHeight="1">
      <c r="A19" s="51" t="str">
        <f>'Set-up'!A25</f>
        <v>Дополнительная ГБНР1</v>
      </c>
      <c r="B19" s="5">
        <f>'2010'!B19*(1+'Set-up'!F25)^($B$35-'2010'!$B$35)</f>
        <v>0</v>
      </c>
      <c r="C19" s="5">
        <f>'2010'!C19*(1+'Set-up'!F25)^($B$35-'2010'!$B$35)</f>
        <v>0</v>
      </c>
      <c r="D19" s="6">
        <f>MIN('Set-up'!H25+'Set-up'!O25*LN($B$35-Base_year),'Set-up'!$J25)</f>
        <v>0</v>
      </c>
      <c r="E19" s="105">
        <f t="shared" si="7"/>
        <v>0</v>
      </c>
      <c r="F19" s="6">
        <f>MIN('Set-up'!I25+'Set-up'!Q25*LN($B$35-Base_year),'Set-up'!$J25)</f>
        <v>0</v>
      </c>
      <c r="G19" s="7">
        <f t="shared" si="8"/>
        <v>0</v>
      </c>
      <c r="H19" s="7">
        <f t="shared" si="9"/>
        <v>0</v>
      </c>
      <c r="I19" s="7">
        <f t="shared" si="10"/>
        <v>0</v>
      </c>
      <c r="J19" s="7">
        <f t="shared" si="11"/>
        <v>0</v>
      </c>
      <c r="K19" s="7">
        <f t="shared" si="12"/>
        <v>0</v>
      </c>
      <c r="L19" s="7">
        <f t="shared" si="13"/>
        <v>0</v>
      </c>
      <c r="M19" s="8">
        <f>AVERAGE(G19,I19:J19,L19)</f>
        <v>0</v>
      </c>
    </row>
    <row r="20" spans="1:13" ht="15" customHeight="1">
      <c r="A20" s="51" t="str">
        <f>'Set-up'!A26</f>
        <v>Дополнительная ГБНР2</v>
      </c>
      <c r="B20" s="5">
        <f>'2010'!B20*(1+'Set-up'!F26)^($B$35-'2010'!$B$35)</f>
        <v>0</v>
      </c>
      <c r="C20" s="5">
        <f>'2010'!C20*(1+'Set-up'!F26)^($B$35-'2010'!$B$35)</f>
        <v>0</v>
      </c>
      <c r="D20" s="6">
        <f>MIN('Set-up'!H26+'Set-up'!O26*LN($B$35-Base_year),'Set-up'!$J26)</f>
        <v>0</v>
      </c>
      <c r="E20" s="105">
        <f t="shared" si="7"/>
        <v>0</v>
      </c>
      <c r="F20" s="6">
        <f>MIN('Set-up'!I26+'Set-up'!Q26*LN($B$35-Base_year),'Set-up'!$J26)</f>
        <v>0</v>
      </c>
      <c r="G20" s="7">
        <f t="shared" si="8"/>
        <v>0</v>
      </c>
      <c r="H20" s="7">
        <f t="shared" si="9"/>
        <v>0</v>
      </c>
      <c r="I20" s="7">
        <f t="shared" si="10"/>
        <v>0</v>
      </c>
      <c r="J20" s="7">
        <f t="shared" si="11"/>
        <v>0</v>
      </c>
      <c r="K20" s="7">
        <f t="shared" si="12"/>
        <v>0</v>
      </c>
      <c r="L20" s="7">
        <f t="shared" si="13"/>
        <v>0</v>
      </c>
      <c r="M20" s="8">
        <f>AVERAGE(G20,I20:J20,L20)</f>
        <v>0</v>
      </c>
    </row>
    <row r="21" spans="1:13" ht="15" customHeight="1">
      <c r="A21" s="51" t="str">
        <f>'Set-up'!A27</f>
        <v>Дополнительная ГБНР3</v>
      </c>
      <c r="B21" s="5">
        <f>'2010'!B21*(1+'Set-up'!F27)^($B$35-'2010'!$B$35)</f>
        <v>0</v>
      </c>
      <c r="C21" s="5">
        <f>'2010'!C21*(1+'Set-up'!F27)^($B$35-'2010'!$B$35)</f>
        <v>0</v>
      </c>
      <c r="D21" s="6">
        <f>MIN('Set-up'!H27+'Set-up'!O27*LN($B$35-Base_year),'Set-up'!$J27)</f>
        <v>0</v>
      </c>
      <c r="E21" s="105">
        <f t="shared" si="7"/>
        <v>0</v>
      </c>
      <c r="F21" s="6">
        <f>MIN('Set-up'!I27+'Set-up'!Q27*LN($B$35-Base_year),'Set-up'!$J27)</f>
        <v>0</v>
      </c>
      <c r="G21" s="7">
        <f t="shared" si="8"/>
        <v>0</v>
      </c>
      <c r="H21" s="7">
        <f t="shared" si="9"/>
        <v>0</v>
      </c>
      <c r="I21" s="7">
        <f t="shared" si="10"/>
        <v>0</v>
      </c>
      <c r="J21" s="7">
        <f t="shared" si="11"/>
        <v>0</v>
      </c>
      <c r="K21" s="7">
        <f t="shared" si="12"/>
        <v>0</v>
      </c>
      <c r="L21" s="7">
        <f t="shared" si="13"/>
        <v>0</v>
      </c>
      <c r="M21" s="8">
        <f>AVERAGE(G21,I21:J21,L21)</f>
        <v>0</v>
      </c>
    </row>
    <row r="22" spans="1:13" ht="15" customHeight="1">
      <c r="A22" s="112" t="s">
        <v>497</v>
      </c>
      <c r="B22" s="202">
        <f>SUM(B16:B21)</f>
        <v>627994.7823208511</v>
      </c>
      <c r="C22" s="202">
        <f>SUM(C16:C21)</f>
        <v>869531.23705964</v>
      </c>
      <c r="D22" s="6"/>
      <c r="E22" s="6"/>
      <c r="F22" s="6"/>
      <c r="G22" s="7"/>
      <c r="H22" s="7"/>
      <c r="I22" s="7"/>
      <c r="J22" s="7"/>
      <c r="K22" s="7"/>
      <c r="L22" s="7"/>
      <c r="M22" s="8">
        <f>SUM(M16:M21)</f>
        <v>10386.067553767922</v>
      </c>
    </row>
    <row r="23" spans="1:13" ht="15" customHeight="1">
      <c r="A23" s="113"/>
      <c r="B23" s="5"/>
      <c r="C23" s="5"/>
      <c r="D23" s="6"/>
      <c r="E23" s="6"/>
      <c r="F23" s="6"/>
      <c r="G23" s="7"/>
      <c r="H23" s="7"/>
      <c r="I23" s="7"/>
      <c r="J23" s="7"/>
      <c r="K23" s="7"/>
      <c r="L23" s="7"/>
      <c r="M23" s="8"/>
    </row>
    <row r="24" spans="1:13" ht="15" customHeight="1">
      <c r="A24" s="112" t="s">
        <v>498</v>
      </c>
      <c r="B24" s="5"/>
      <c r="C24" s="5"/>
      <c r="D24" s="6"/>
      <c r="E24" s="6"/>
      <c r="F24" s="6"/>
      <c r="G24" s="7"/>
      <c r="H24" s="7"/>
      <c r="I24" s="7"/>
      <c r="J24" s="7"/>
      <c r="K24" s="7"/>
      <c r="L24" s="7"/>
      <c r="M24" s="8"/>
    </row>
    <row r="25" spans="1:13" ht="15" customHeight="1">
      <c r="A25" s="113" t="str">
        <f>'Set-up'!A30</f>
        <v>Городские женщины ГНР</v>
      </c>
      <c r="B25" s="5">
        <f>'2010'!B25*(1+'Set-up'!F30)^($B$35-'2010'!$B$35)</f>
        <v>10242552.333514107</v>
      </c>
      <c r="C25" s="5">
        <f>'2010'!C25*(1+'Set-up'!F30)^($B$35-'2010'!$B$35)</f>
        <v>10227982.293656075</v>
      </c>
      <c r="D25" s="6">
        <f>MIN('Set-up'!H30+'Set-up'!O30*LN($B$35-Base_year),'Set-up'!$J30)</f>
        <v>0.0015</v>
      </c>
      <c r="E25" s="105">
        <f>(D25+F25)/2</f>
        <v>0.0015</v>
      </c>
      <c r="F25" s="6">
        <f>MIN('Set-up'!I30+'Set-up'!Q30*LN($B$35-Base_year),'Set-up'!$J30)</f>
        <v>0.0015</v>
      </c>
      <c r="G25" s="7">
        <f>B25*D25</f>
        <v>15363.828500271162</v>
      </c>
      <c r="H25" s="7">
        <f>B25*E25</f>
        <v>15363.828500271162</v>
      </c>
      <c r="I25" s="7">
        <f>B25*F25</f>
        <v>15363.828500271162</v>
      </c>
      <c r="J25" s="7">
        <f>C25*D25</f>
        <v>15341.973440484113</v>
      </c>
      <c r="K25" s="7">
        <f>C25*E25</f>
        <v>15341.973440484113</v>
      </c>
      <c r="L25" s="7">
        <f>C25*F25</f>
        <v>15341.973440484113</v>
      </c>
      <c r="M25" s="8">
        <f>AVERAGE(G25,I25:J25,L25)</f>
        <v>15352.900970377637</v>
      </c>
    </row>
    <row r="26" spans="1:13" ht="15" customHeight="1">
      <c r="A26" s="113" t="str">
        <f>'Set-up'!A31</f>
        <v>Сельские женщины ГНР</v>
      </c>
      <c r="B26" s="5">
        <f>'2010'!B26*(1+'Set-up'!F31)^($B$35-'2010'!$B$35)</f>
        <v>1138061.3703904562</v>
      </c>
      <c r="C26" s="5">
        <f>'2010'!C26*(1+'Set-up'!F31)^($B$35-'2010'!$B$35)</f>
        <v>1136442.477072897</v>
      </c>
      <c r="D26" s="6">
        <f>MIN('Set-up'!H31+'Set-up'!O31*LN($B$35-Base_year),'Set-up'!$J31)</f>
        <v>0.00055</v>
      </c>
      <c r="E26" s="105">
        <f>(D26+F26)/2</f>
        <v>0.00055</v>
      </c>
      <c r="F26" s="6">
        <f>MIN('Set-up'!I31+'Set-up'!Q31*LN($B$35-Base_year),'Set-up'!$J31)</f>
        <v>0.00055</v>
      </c>
      <c r="G26" s="7">
        <f>B26*D26</f>
        <v>625.9337537147509</v>
      </c>
      <c r="H26" s="7">
        <f>B26*E26</f>
        <v>625.9337537147509</v>
      </c>
      <c r="I26" s="7">
        <f>B26*F26</f>
        <v>625.9337537147509</v>
      </c>
      <c r="J26" s="7">
        <f>C26*D26</f>
        <v>625.0433623900933</v>
      </c>
      <c r="K26" s="7">
        <f>C26*E26</f>
        <v>625.0433623900933</v>
      </c>
      <c r="L26" s="7">
        <f>C26*F26</f>
        <v>625.0433623900933</v>
      </c>
      <c r="M26" s="8">
        <f>AVERAGE(G26,I26:J26,L26)</f>
        <v>625.4885580524221</v>
      </c>
    </row>
    <row r="27" spans="1:13" ht="15" customHeight="1">
      <c r="A27" s="112" t="s">
        <v>493</v>
      </c>
      <c r="B27" s="8">
        <f>SUM(B25:B26)</f>
        <v>11380613.703904564</v>
      </c>
      <c r="C27" s="8">
        <f>SUM(C25:C26)</f>
        <v>11364424.770728972</v>
      </c>
      <c r="D27" s="6"/>
      <c r="E27" s="6"/>
      <c r="F27" s="6"/>
      <c r="G27" s="7"/>
      <c r="H27" s="7"/>
      <c r="I27" s="7"/>
      <c r="J27" s="7"/>
      <c r="K27" s="7"/>
      <c r="L27" s="7"/>
      <c r="M27" s="8">
        <f>SUM(M25:M26)</f>
        <v>15978.38952843006</v>
      </c>
    </row>
    <row r="28" spans="1:13" ht="15" customHeight="1">
      <c r="A28" s="113"/>
      <c r="B28" s="7"/>
      <c r="C28" s="7"/>
      <c r="D28" s="6"/>
      <c r="E28" s="6"/>
      <c r="F28" s="6"/>
      <c r="G28" s="7"/>
      <c r="H28" s="7"/>
      <c r="I28" s="7"/>
      <c r="J28" s="7"/>
      <c r="K28" s="7"/>
      <c r="L28" s="7"/>
      <c r="M28" s="8"/>
    </row>
    <row r="29" spans="1:32" ht="15" customHeight="1">
      <c r="A29" s="109" t="s">
        <v>494</v>
      </c>
      <c r="B29" s="53"/>
      <c r="C29" s="53"/>
      <c r="D29" s="55"/>
      <c r="E29" s="55"/>
      <c r="F29" s="55"/>
      <c r="G29" s="53"/>
      <c r="H29" s="53"/>
      <c r="I29" s="53"/>
      <c r="J29" s="53"/>
      <c r="K29" s="53"/>
      <c r="L29" s="53"/>
      <c r="M29" s="82">
        <f>IF('Set-up'!G19&lt;&gt;"",M22,IF('Set-up'!G20&lt;&gt;"",M27,"0"))</f>
        <v>10386.067553767922</v>
      </c>
      <c r="N29" s="56"/>
      <c r="O29" s="52"/>
      <c r="P29" s="52"/>
      <c r="Q29" s="52"/>
      <c r="R29" s="52"/>
      <c r="S29" s="52"/>
      <c r="T29" s="52"/>
      <c r="U29" s="52"/>
      <c r="V29" s="52"/>
      <c r="W29" s="52"/>
      <c r="X29" s="52"/>
      <c r="Y29" s="52"/>
      <c r="Z29" s="52"/>
      <c r="AA29" s="52"/>
      <c r="AB29" s="52"/>
      <c r="AC29" s="52"/>
      <c r="AD29" s="52"/>
      <c r="AE29" s="52"/>
      <c r="AF29" s="52"/>
    </row>
    <row r="30" spans="1:32" ht="15" customHeight="1">
      <c r="A30" s="115"/>
      <c r="B30" s="60"/>
      <c r="C30" s="60"/>
      <c r="D30" s="60"/>
      <c r="E30" s="60"/>
      <c r="F30" s="60"/>
      <c r="G30" s="7">
        <f>IF($B$25="","",($B$25*'Set-up'!$B$7*D25))</f>
        <v>13827.445650244044</v>
      </c>
      <c r="H30" s="7">
        <f>IF($B$25="","",($B$25*'Set-up'!$B$7*E25))</f>
        <v>13827.445650244044</v>
      </c>
      <c r="I30" s="7">
        <f>IF($B$25="","",($B$25*'Set-up'!$B$7*F25))</f>
        <v>13827.445650244044</v>
      </c>
      <c r="J30" s="61"/>
      <c r="K30" s="61"/>
      <c r="L30" s="62"/>
      <c r="M30" s="8"/>
      <c r="N30" s="52"/>
      <c r="O30" s="52"/>
      <c r="P30" s="52"/>
      <c r="Q30" s="52"/>
      <c r="R30" s="52"/>
      <c r="S30" s="52"/>
      <c r="T30" s="52"/>
      <c r="U30" s="52"/>
      <c r="V30" s="52"/>
      <c r="W30" s="52"/>
      <c r="X30" s="52"/>
      <c r="Y30" s="52"/>
      <c r="Z30" s="52"/>
      <c r="AA30" s="52"/>
      <c r="AB30" s="52"/>
      <c r="AC30" s="52"/>
      <c r="AD30" s="52"/>
      <c r="AE30" s="52"/>
      <c r="AF30" s="52"/>
    </row>
    <row r="31" spans="1:32" ht="23.25" customHeight="1">
      <c r="A31" s="101" t="str">
        <f>IF(B25="0","No Risk Population","Население вне групп риска - нет данных")</f>
        <v>Население вне групп риска - нет данных</v>
      </c>
      <c r="B31" s="201">
        <f>IF('Set-up'!$G$19&lt;&gt;"",B36-(C12+C22),B36-(C12+C27))</f>
        <v>20693423.20766557</v>
      </c>
      <c r="C31" s="201">
        <f>IF('Set-up'!$G$19&lt;&gt;"",B36-(B12+B22),B36-(B12+B27))</f>
        <v>21408212.90731453</v>
      </c>
      <c r="D31" s="56"/>
      <c r="E31" s="56"/>
      <c r="F31" s="56"/>
      <c r="G31" s="7">
        <f>IF($B$25="","",($B$25*(1-'Set-up'!$B$7)*D25*(1-'Set-up'!$B$32)))</f>
        <v>1536.3828500271159</v>
      </c>
      <c r="H31" s="7">
        <f>IF($B$25="","",($B$25*(1-'Set-up'!$B$7)*E25*(1-'Set-up'!$B$32)))</f>
        <v>1536.3828500271159</v>
      </c>
      <c r="I31" s="7">
        <f>IF($B$25="","",($B$25*(1-'Set-up'!$B$7)*F25*(1-'Set-up'!$B$32)))</f>
        <v>1536.3828500271159</v>
      </c>
      <c r="J31" s="56"/>
      <c r="K31" s="56"/>
      <c r="L31" s="56"/>
      <c r="M31" s="56"/>
      <c r="N31" s="52"/>
      <c r="O31" s="52"/>
      <c r="P31" s="52"/>
      <c r="Q31" s="52"/>
      <c r="R31" s="52"/>
      <c r="S31" s="52"/>
      <c r="T31" s="52"/>
      <c r="U31" s="52"/>
      <c r="V31" s="52"/>
      <c r="W31" s="52"/>
      <c r="X31" s="52"/>
      <c r="Y31" s="52"/>
      <c r="Z31" s="52"/>
      <c r="AA31" s="52"/>
      <c r="AB31" s="52"/>
      <c r="AC31" s="52"/>
      <c r="AD31" s="52"/>
      <c r="AE31" s="52"/>
      <c r="AF31" s="52"/>
    </row>
    <row r="32" spans="1:13" ht="15" customHeight="1" thickBot="1">
      <c r="A32" s="119"/>
      <c r="B32" s="64"/>
      <c r="C32" s="63"/>
      <c r="D32" s="63"/>
      <c r="E32" s="63"/>
      <c r="F32" s="63"/>
      <c r="G32" s="63"/>
      <c r="H32" s="63"/>
      <c r="I32" s="63"/>
      <c r="J32" s="63"/>
      <c r="K32" s="63"/>
      <c r="L32" s="63"/>
      <c r="M32" s="63"/>
    </row>
    <row r="33" spans="1:13" ht="15" customHeight="1">
      <c r="A33" s="101" t="s">
        <v>495</v>
      </c>
      <c r="B33" s="201">
        <f>IF('Set-up'!G19&lt;&gt;"",SUM($B$12,$B$22,$C$31),$B$12+$B$27+$C$31)</f>
        <v>23242726.96529976</v>
      </c>
      <c r="C33" s="201">
        <f>IF('Set-up'!G19&lt;&gt;"",SUM($C$12,$C$22,$B$31),$C$12+$C$27+$B$31)</f>
        <v>23242726.96529976</v>
      </c>
      <c r="D33" s="8"/>
      <c r="E33" s="8"/>
      <c r="F33" s="8"/>
      <c r="G33" s="8"/>
      <c r="H33" s="8"/>
      <c r="I33" s="8"/>
      <c r="J33" s="8"/>
      <c r="K33" s="8"/>
      <c r="L33" s="8"/>
      <c r="M33" s="8">
        <f>M12+M29</f>
        <v>116982.52989969151</v>
      </c>
    </row>
    <row r="34" spans="1:13" ht="15" customHeight="1">
      <c r="A34" s="473"/>
      <c r="B34" s="8"/>
      <c r="C34" s="8"/>
      <c r="D34" s="8"/>
      <c r="E34" s="8"/>
      <c r="F34" s="8"/>
      <c r="G34" s="8"/>
      <c r="H34" s="8"/>
      <c r="I34" s="8"/>
      <c r="J34" s="8"/>
      <c r="K34" s="8"/>
      <c r="L34" s="8"/>
      <c r="M34" s="8"/>
    </row>
    <row r="35" spans="1:13" ht="15" customHeight="1">
      <c r="A35" s="101" t="s">
        <v>347</v>
      </c>
      <c r="B35" s="19">
        <v>2020</v>
      </c>
      <c r="C35" s="8"/>
      <c r="D35" s="8"/>
      <c r="E35" s="8"/>
      <c r="F35" s="8"/>
      <c r="G35" s="8"/>
      <c r="H35" s="8"/>
      <c r="I35" s="8"/>
      <c r="J35" s="8"/>
      <c r="K35" s="8"/>
      <c r="L35" s="8"/>
      <c r="M35" s="8"/>
    </row>
    <row r="36" spans="1:13" ht="15" customHeight="1">
      <c r="A36" s="101" t="s">
        <v>496</v>
      </c>
      <c r="B36" s="8">
        <f>'Set-up'!$B$6*(1+'Set-up'!$D$6)^('2005'!$B$35-Base_year)*(1+'Set-up'!$E$6)^('2010'!$B$35-'2005'!$B$35)*(1+'Set-up'!$F$6)^('2020'!$B$35-'2010'!$B$35)</f>
        <v>23242726.96529976</v>
      </c>
      <c r="C36" s="8"/>
      <c r="E36" s="52"/>
      <c r="F36" s="52"/>
      <c r="G36" s="52"/>
      <c r="H36" s="52"/>
      <c r="I36" s="52"/>
      <c r="J36" s="52"/>
      <c r="K36" s="56"/>
      <c r="L36" s="56"/>
      <c r="M36" s="56"/>
    </row>
    <row r="37" spans="1:13" ht="15" customHeight="1">
      <c r="A37" s="2"/>
      <c r="B37" s="8"/>
      <c r="E37" s="52"/>
      <c r="F37" s="52"/>
      <c r="G37" s="52"/>
      <c r="H37" s="52"/>
      <c r="I37" s="52"/>
      <c r="J37" s="52"/>
      <c r="K37" s="52"/>
      <c r="L37" s="52"/>
      <c r="M37" s="52"/>
    </row>
    <row r="38" spans="1:2" ht="15" customHeight="1">
      <c r="A38" s="2"/>
      <c r="B38" s="8"/>
    </row>
  </sheetData>
  <sheetProtection sheet="1" objects="1" scenarios="1" selectLockedCells="1"/>
  <mergeCells count="5">
    <mergeCell ref="M1:M2"/>
    <mergeCell ref="A1:A2"/>
    <mergeCell ref="B1:C1"/>
    <mergeCell ref="D1:F1"/>
    <mergeCell ref="G1:L1"/>
  </mergeCells>
  <printOptions/>
  <pageMargins left="0.75" right="0.75" top="1" bottom="1" header="0.5" footer="0.5"/>
  <pageSetup fitToHeight="1" fitToWidth="1" horizontalDpi="600" verticalDpi="600" orientation="landscape" scale="61" r:id="rId2"/>
  <drawing r:id="rId1"/>
</worksheet>
</file>

<file path=xl/worksheets/sheet12.xml><?xml version="1.0" encoding="utf-8"?>
<worksheet xmlns="http://schemas.openxmlformats.org/spreadsheetml/2006/main" xmlns:r="http://schemas.openxmlformats.org/officeDocument/2006/relationships">
  <sheetPr codeName="Sheet11">
    <pageSetUpPr fitToPage="1"/>
  </sheetPr>
  <dimension ref="A1:AL38"/>
  <sheetViews>
    <sheetView workbookViewId="0" topLeftCell="A1">
      <pane xSplit="1" ySplit="2" topLeftCell="B3" activePane="bottomRight" state="frozen"/>
      <selection pane="topLeft" activeCell="N15" sqref="N15"/>
      <selection pane="topRight" activeCell="N15" sqref="N15"/>
      <selection pane="bottomLeft" activeCell="N15" sqref="N15"/>
      <selection pane="bottomRight" activeCell="F11" sqref="F11"/>
    </sheetView>
  </sheetViews>
  <sheetFormatPr defaultColWidth="9.140625" defaultRowHeight="12.75"/>
  <cols>
    <col min="1" max="1" width="27.28125" style="0" customWidth="1"/>
    <col min="2" max="6" width="12.7109375" style="0" customWidth="1"/>
    <col min="7" max="12" width="15.7109375" style="0" customWidth="1"/>
    <col min="13" max="13" width="15.28125" style="0" bestFit="1" customWidth="1"/>
    <col min="14" max="14" width="10.421875" style="0" customWidth="1"/>
    <col min="15" max="15" width="9.8515625" style="66" customWidth="1"/>
    <col min="16" max="16" width="10.28125" style="66" customWidth="1"/>
  </cols>
  <sheetData>
    <row r="1" spans="1:13" ht="30" customHeight="1">
      <c r="A1" s="584" t="str">
        <f>'Set-up'!B1</f>
        <v>Belize</v>
      </c>
      <c r="B1" s="579" t="s">
        <v>477</v>
      </c>
      <c r="C1" s="579"/>
      <c r="D1" s="579" t="s">
        <v>348</v>
      </c>
      <c r="E1" s="579"/>
      <c r="F1" s="579"/>
      <c r="G1" s="576" t="s">
        <v>478</v>
      </c>
      <c r="H1" s="576"/>
      <c r="I1" s="579"/>
      <c r="J1" s="579"/>
      <c r="K1" s="579"/>
      <c r="L1" s="579"/>
      <c r="M1" s="576" t="s">
        <v>486</v>
      </c>
    </row>
    <row r="2" spans="1:38" ht="30" customHeight="1">
      <c r="A2" s="585"/>
      <c r="B2" s="99" t="s">
        <v>342</v>
      </c>
      <c r="C2" s="99" t="s">
        <v>343</v>
      </c>
      <c r="D2" s="99" t="s">
        <v>342</v>
      </c>
      <c r="E2" s="99" t="s">
        <v>479</v>
      </c>
      <c r="F2" s="99" t="s">
        <v>343</v>
      </c>
      <c r="G2" s="99" t="s">
        <v>480</v>
      </c>
      <c r="H2" s="99" t="s">
        <v>481</v>
      </c>
      <c r="I2" s="99" t="s">
        <v>482</v>
      </c>
      <c r="J2" s="99" t="s">
        <v>483</v>
      </c>
      <c r="K2" s="99" t="s">
        <v>484</v>
      </c>
      <c r="L2" s="99" t="s">
        <v>485</v>
      </c>
      <c r="M2" s="576"/>
      <c r="Q2" s="1"/>
      <c r="R2" s="1"/>
      <c r="S2" s="1"/>
      <c r="T2" s="1"/>
      <c r="U2" s="1"/>
      <c r="V2" s="1"/>
      <c r="W2" s="1"/>
      <c r="X2" s="1"/>
      <c r="Y2" s="1"/>
      <c r="Z2" s="1"/>
      <c r="AA2" s="1"/>
      <c r="AB2" s="1"/>
      <c r="AC2" s="1"/>
      <c r="AD2" s="1"/>
      <c r="AE2" s="1"/>
      <c r="AF2" s="1"/>
      <c r="AG2" s="1"/>
      <c r="AH2" s="1"/>
      <c r="AI2" s="1"/>
      <c r="AJ2" s="1"/>
      <c r="AK2" s="1"/>
      <c r="AL2" s="1"/>
    </row>
    <row r="3" spans="1:38" s="1" customFormat="1" ht="15" customHeight="1">
      <c r="A3" s="474" t="s">
        <v>501</v>
      </c>
      <c r="B3" s="3"/>
      <c r="C3" s="3"/>
      <c r="D3" s="3"/>
      <c r="E3" s="3"/>
      <c r="F3" s="3"/>
      <c r="G3" s="3"/>
      <c r="H3" s="3"/>
      <c r="I3" s="3"/>
      <c r="J3" s="3"/>
      <c r="K3" s="3"/>
      <c r="L3" s="3"/>
      <c r="M3" s="3"/>
      <c r="Q3"/>
      <c r="R3"/>
      <c r="S3"/>
      <c r="T3"/>
      <c r="U3"/>
      <c r="V3"/>
      <c r="W3"/>
      <c r="X3"/>
      <c r="Y3"/>
      <c r="Z3"/>
      <c r="AA3"/>
      <c r="AB3"/>
      <c r="AC3"/>
      <c r="AD3"/>
      <c r="AE3"/>
      <c r="AF3"/>
      <c r="AG3"/>
      <c r="AH3"/>
      <c r="AI3"/>
      <c r="AJ3"/>
      <c r="AK3"/>
      <c r="AL3"/>
    </row>
    <row r="4" spans="1:13" ht="15" customHeight="1">
      <c r="A4" s="4" t="str">
        <f>'Set-up'!A10</f>
        <v>ПИН</v>
      </c>
      <c r="B4" s="5">
        <f>'2020'!B4*(1+'Set-up'!G10)^($B$35-'2020'!$B$35)</f>
        <v>73504.39483920124</v>
      </c>
      <c r="C4" s="5">
        <f>'2020'!C4*(1+'Set-up'!G10)^($B$35-'2020'!$B$35)</f>
        <v>100234.68537418926</v>
      </c>
      <c r="D4" s="6">
        <f>MIN('Set-up'!H10+'Set-up'!O10*LN($B$35-Base_year),'Set-up'!$J10)</f>
        <v>0.09</v>
      </c>
      <c r="E4" s="105">
        <f aca="true" t="shared" si="0" ref="E4:E11">(D4+F4)/2</f>
        <v>0.09</v>
      </c>
      <c r="F4" s="6">
        <f>MIN('Set-up'!I10+'Set-up'!Q10*LN($B$35-Base_year),'Set-up'!$J10)</f>
        <v>0.09</v>
      </c>
      <c r="G4" s="7">
        <f aca="true" t="shared" si="1" ref="G4:G11">B4*D4</f>
        <v>6615.395535528111</v>
      </c>
      <c r="H4" s="7">
        <f aca="true" t="shared" si="2" ref="H4:H11">B4*E4</f>
        <v>6615.395535528111</v>
      </c>
      <c r="I4" s="7">
        <f aca="true" t="shared" si="3" ref="I4:I11">B4*F4</f>
        <v>6615.395535528111</v>
      </c>
      <c r="J4" s="7">
        <f aca="true" t="shared" si="4" ref="J4:J11">C4*D4</f>
        <v>9021.121683677033</v>
      </c>
      <c r="K4" s="7">
        <f aca="true" t="shared" si="5" ref="K4:K11">C4*E4</f>
        <v>9021.121683677033</v>
      </c>
      <c r="L4" s="7">
        <f aca="true" t="shared" si="6" ref="L4:L11">C4*F4</f>
        <v>9021.121683677033</v>
      </c>
      <c r="M4" s="8">
        <f>AVERAGE(G4:L4)</f>
        <v>7818.2586096025725</v>
      </c>
    </row>
    <row r="5" spans="1:13" ht="15" customHeight="1">
      <c r="A5" s="4" t="str">
        <f>'Set-up'!A11</f>
        <v>МСМ</v>
      </c>
      <c r="B5" s="5">
        <f>'2020'!B5*(1+'Set-up'!G11)^($B$35-'2020'!$B$35)</f>
        <v>240562.2037961833</v>
      </c>
      <c r="C5" s="5">
        <f>'2020'!C5*(1+'Set-up'!G11)^($B$35-'2020'!$B$35)</f>
        <v>360843.305694275</v>
      </c>
      <c r="D5" s="6">
        <f>MIN('Set-up'!H11+'Set-up'!O11*LN($B$35-Base_year),'Set-up'!$J11)</f>
        <v>0.14</v>
      </c>
      <c r="E5" s="105">
        <f t="shared" si="0"/>
        <v>0.14</v>
      </c>
      <c r="F5" s="6">
        <f>MIN('Set-up'!I11+'Set-up'!Q11*LN($B$35-Base_year),'Set-up'!$J11)</f>
        <v>0.14</v>
      </c>
      <c r="G5" s="7">
        <f t="shared" si="1"/>
        <v>33678.708531465665</v>
      </c>
      <c r="H5" s="7">
        <f t="shared" si="2"/>
        <v>33678.708531465665</v>
      </c>
      <c r="I5" s="7">
        <f t="shared" si="3"/>
        <v>33678.708531465665</v>
      </c>
      <c r="J5" s="7">
        <f t="shared" si="4"/>
        <v>50518.06279719851</v>
      </c>
      <c r="K5" s="7">
        <f t="shared" si="5"/>
        <v>50518.06279719851</v>
      </c>
      <c r="L5" s="7">
        <f t="shared" si="6"/>
        <v>50518.06279719851</v>
      </c>
      <c r="M5" s="8">
        <f>AVERAGE(G5:L5)</f>
        <v>42098.38566433208</v>
      </c>
    </row>
    <row r="6" spans="1:13" ht="15" customHeight="1">
      <c r="A6" s="4" t="str">
        <f>'Set-up'!A12</f>
        <v>РСБ</v>
      </c>
      <c r="B6" s="5">
        <f>'2020'!B6*(1+'Set-up'!G12)^($B$35-'2020'!$B$35)</f>
        <v>75093.3765696404</v>
      </c>
      <c r="C6" s="5">
        <f>'2020'!C6*(1+'Set-up'!G12)^($B$35-'2020'!$B$35)</f>
        <v>112707.08578739886</v>
      </c>
      <c r="D6" s="6">
        <f>MIN('Set-up'!H12+'Set-up'!O12*LN($B$35-Base_year),'Set-up'!$J12)</f>
        <v>0.12</v>
      </c>
      <c r="E6" s="105">
        <f t="shared" si="0"/>
        <v>0.12</v>
      </c>
      <c r="F6" s="6">
        <f>MIN('Set-up'!I12+'Set-up'!Q12*LN($B$35-Base_year),'Set-up'!$J12)</f>
        <v>0.12</v>
      </c>
      <c r="G6" s="7">
        <f t="shared" si="1"/>
        <v>9011.205188356847</v>
      </c>
      <c r="H6" s="7">
        <f t="shared" si="2"/>
        <v>9011.205188356847</v>
      </c>
      <c r="I6" s="7">
        <f t="shared" si="3"/>
        <v>9011.205188356847</v>
      </c>
      <c r="J6" s="7">
        <f t="shared" si="4"/>
        <v>13524.850294487862</v>
      </c>
      <c r="K6" s="7">
        <f t="shared" si="5"/>
        <v>13524.850294487862</v>
      </c>
      <c r="L6" s="7">
        <f t="shared" si="6"/>
        <v>13524.850294487862</v>
      </c>
      <c r="M6" s="8">
        <f>AVERAGE(G6:L6)</f>
        <v>11268.027741422355</v>
      </c>
    </row>
    <row r="7" spans="1:13" ht="15" customHeight="1">
      <c r="A7" s="4" t="str">
        <f>'Set-up'!A13</f>
        <v>Клиенты РСБ</v>
      </c>
      <c r="B7" s="5">
        <f>'2020'!B7*(1+'Set-up'!G13)^($B$35-'2020'!$B$35)</f>
        <v>910964.1370249083</v>
      </c>
      <c r="C7" s="5">
        <f>'2020'!C7*(1+'Set-up'!G13)^($B$35-'2020'!$B$35)</f>
        <v>1236308.471676661</v>
      </c>
      <c r="D7" s="6">
        <f>MIN('Set-up'!H13+'Set-up'!O13*LN($B$35-Base_year),'Set-up'!$J13)</f>
        <v>0.05</v>
      </c>
      <c r="E7" s="105">
        <f t="shared" si="0"/>
        <v>0.05</v>
      </c>
      <c r="F7" s="6">
        <f>MIN('Set-up'!I13+'Set-up'!Q13*LN($B$35-Base_year),'Set-up'!$J13)</f>
        <v>0.05</v>
      </c>
      <c r="G7" s="7">
        <f t="shared" si="1"/>
        <v>45548.20685124542</v>
      </c>
      <c r="H7" s="7">
        <f t="shared" si="2"/>
        <v>45548.20685124542</v>
      </c>
      <c r="I7" s="7">
        <f t="shared" si="3"/>
        <v>45548.20685124542</v>
      </c>
      <c r="J7" s="7">
        <f t="shared" si="4"/>
        <v>61815.42358383305</v>
      </c>
      <c r="K7" s="7">
        <f t="shared" si="5"/>
        <v>61815.42358383305</v>
      </c>
      <c r="L7" s="7">
        <f t="shared" si="6"/>
        <v>61815.42358383305</v>
      </c>
      <c r="M7" s="8">
        <f>AVERAGE(G7,I7:J7,L7)</f>
        <v>53681.81521753923</v>
      </c>
    </row>
    <row r="8" spans="1:13" ht="15" customHeight="1">
      <c r="A8" s="4" t="str">
        <f>'Set-up'!A14</f>
        <v>Дополнительная ГБВР1</v>
      </c>
      <c r="B8" s="5">
        <f>'2020'!B8*(1+'Set-up'!G14)^($B$35-'2020'!$B$35)</f>
        <v>0</v>
      </c>
      <c r="C8" s="5">
        <f>'2020'!C8*(1+'Set-up'!G14)^($B$35-'2020'!$B$35)</f>
        <v>0</v>
      </c>
      <c r="D8" s="6">
        <f>MIN('Set-up'!H14+'Set-up'!O14*LN($B$35-Base_year),'Set-up'!$J14)</f>
        <v>0</v>
      </c>
      <c r="E8" s="105">
        <f t="shared" si="0"/>
        <v>0</v>
      </c>
      <c r="F8" s="6">
        <f>MIN('Set-up'!I14+'Set-up'!Q14*LN($B$35-Base_year),'Set-up'!$J14)</f>
        <v>0</v>
      </c>
      <c r="G8" s="7">
        <f t="shared" si="1"/>
        <v>0</v>
      </c>
      <c r="H8" s="7">
        <f t="shared" si="2"/>
        <v>0</v>
      </c>
      <c r="I8" s="7">
        <f t="shared" si="3"/>
        <v>0</v>
      </c>
      <c r="J8" s="7">
        <f t="shared" si="4"/>
        <v>0</v>
      </c>
      <c r="K8" s="7">
        <f t="shared" si="5"/>
        <v>0</v>
      </c>
      <c r="L8" s="7">
        <f t="shared" si="6"/>
        <v>0</v>
      </c>
      <c r="M8" s="8">
        <f>AVERAGE(G8,I8:J8,L8)</f>
        <v>0</v>
      </c>
    </row>
    <row r="9" spans="1:13" ht="15" customHeight="1">
      <c r="A9" s="4" t="str">
        <f>'Set-up'!A15</f>
        <v>Дополнительная ГБВР2</v>
      </c>
      <c r="B9" s="5">
        <f>'2020'!B9*(1+'Set-up'!G15)^($B$35-'2020'!$B$35)</f>
        <v>0</v>
      </c>
      <c r="C9" s="5">
        <f>'2020'!C9*(1+'Set-up'!G15)^($B$35-'2020'!$B$35)</f>
        <v>0</v>
      </c>
      <c r="D9" s="6">
        <f>MIN('Set-up'!H15+'Set-up'!O15*LN($B$35-Base_year),'Set-up'!$J15)</f>
        <v>0</v>
      </c>
      <c r="E9" s="105">
        <f t="shared" si="0"/>
        <v>0</v>
      </c>
      <c r="F9" s="6">
        <f>MIN('Set-up'!I15+'Set-up'!Q15*LN($B$35-Base_year),'Set-up'!$J15)</f>
        <v>0</v>
      </c>
      <c r="G9" s="7">
        <f t="shared" si="1"/>
        <v>0</v>
      </c>
      <c r="H9" s="7">
        <f t="shared" si="2"/>
        <v>0</v>
      </c>
      <c r="I9" s="7">
        <f t="shared" si="3"/>
        <v>0</v>
      </c>
      <c r="J9" s="7">
        <f t="shared" si="4"/>
        <v>0</v>
      </c>
      <c r="K9" s="7">
        <f t="shared" si="5"/>
        <v>0</v>
      </c>
      <c r="L9" s="7">
        <f t="shared" si="6"/>
        <v>0</v>
      </c>
      <c r="M9" s="8">
        <f>AVERAGE(G9,I9:J9,L9)</f>
        <v>0</v>
      </c>
    </row>
    <row r="10" spans="1:13" ht="15" customHeight="1">
      <c r="A10" s="4" t="str">
        <f>'Set-up'!A16</f>
        <v>Дополнительная ГБВР3</v>
      </c>
      <c r="B10" s="5">
        <f>'2020'!B10*(1+'Set-up'!G16)^($B$35-'2020'!$B$35)</f>
        <v>0</v>
      </c>
      <c r="C10" s="5">
        <f>'2020'!C10*(1+'Set-up'!G16)^($B$35-'2020'!$B$35)</f>
        <v>0</v>
      </c>
      <c r="D10" s="6">
        <f>MIN('Set-up'!H16+'Set-up'!O16*LN($B$35-Base_year),'Set-up'!$J16)</f>
        <v>0</v>
      </c>
      <c r="E10" s="105">
        <f t="shared" si="0"/>
        <v>0</v>
      </c>
      <c r="F10" s="6">
        <f>MIN('Set-up'!I16+'Set-up'!Q16*LN($B$35-Base_year),'Set-up'!$J16)</f>
        <v>0</v>
      </c>
      <c r="G10" s="7">
        <f t="shared" si="1"/>
        <v>0</v>
      </c>
      <c r="H10" s="7">
        <f t="shared" si="2"/>
        <v>0</v>
      </c>
      <c r="I10" s="7">
        <f t="shared" si="3"/>
        <v>0</v>
      </c>
      <c r="J10" s="7">
        <f t="shared" si="4"/>
        <v>0</v>
      </c>
      <c r="K10" s="7">
        <f t="shared" si="5"/>
        <v>0</v>
      </c>
      <c r="L10" s="7">
        <f t="shared" si="6"/>
        <v>0</v>
      </c>
      <c r="M10" s="8">
        <f>AVERAGE(G10,I10:J10,L10)</f>
        <v>0</v>
      </c>
    </row>
    <row r="11" spans="1:13" ht="15" customHeight="1">
      <c r="A11" s="4" t="str">
        <f>'Set-up'!A17</f>
        <v>Дополнительная ГБВР4</v>
      </c>
      <c r="B11" s="5">
        <f>'2020'!B11*(1+'Set-up'!G17)^($B$35-'2020'!$B$35)</f>
        <v>0</v>
      </c>
      <c r="C11" s="5">
        <f>'2020'!C11*(1+'Set-up'!G17)^($B$35-'2020'!$B$35)</f>
        <v>0</v>
      </c>
      <c r="D11" s="6">
        <f>MIN('Set-up'!H17+'Set-up'!O17*LN($B$35-Base_year),'Set-up'!$J17)</f>
        <v>0</v>
      </c>
      <c r="E11" s="105">
        <f t="shared" si="0"/>
        <v>0</v>
      </c>
      <c r="F11" s="6">
        <f>MIN('Set-up'!I17+'Set-up'!Q17*LN($B$35-Base_year),'Set-up'!$J17)</f>
        <v>0</v>
      </c>
      <c r="G11" s="7">
        <f t="shared" si="1"/>
        <v>0</v>
      </c>
      <c r="H11" s="7">
        <f t="shared" si="2"/>
        <v>0</v>
      </c>
      <c r="I11" s="7">
        <f t="shared" si="3"/>
        <v>0</v>
      </c>
      <c r="J11" s="7">
        <f t="shared" si="4"/>
        <v>0</v>
      </c>
      <c r="K11" s="7">
        <f t="shared" si="5"/>
        <v>0</v>
      </c>
      <c r="L11" s="7">
        <f t="shared" si="6"/>
        <v>0</v>
      </c>
      <c r="M11" s="8">
        <f>AVERAGE(G11,I11:J11,L11)</f>
        <v>0</v>
      </c>
    </row>
    <row r="12" spans="1:13" ht="15" customHeight="1">
      <c r="A12" s="475" t="s">
        <v>502</v>
      </c>
      <c r="B12" s="57">
        <f>SUM(B4:B11)</f>
        <v>1300124.1122299333</v>
      </c>
      <c r="C12" s="57">
        <f>SUM(C4:C11)</f>
        <v>1810093.5485325241</v>
      </c>
      <c r="D12" s="55"/>
      <c r="E12" s="55"/>
      <c r="F12" s="55"/>
      <c r="G12" s="57"/>
      <c r="H12" s="57"/>
      <c r="I12" s="57"/>
      <c r="J12" s="57"/>
      <c r="K12" s="57"/>
      <c r="L12" s="57"/>
      <c r="M12" s="57">
        <f>SUM(M4:M11)</f>
        <v>114866.48723289624</v>
      </c>
    </row>
    <row r="13" spans="1:13" ht="15" customHeight="1">
      <c r="A13" s="2"/>
      <c r="B13" s="93"/>
      <c r="C13" s="93"/>
      <c r="D13" s="58"/>
      <c r="E13" s="58"/>
      <c r="F13" s="58"/>
      <c r="G13" s="93"/>
      <c r="H13" s="93"/>
      <c r="I13" s="93"/>
      <c r="J13" s="93"/>
      <c r="K13" s="93"/>
      <c r="L13" s="93"/>
      <c r="M13" s="93"/>
    </row>
    <row r="14" spans="1:13" ht="15" customHeight="1">
      <c r="A14" s="474" t="s">
        <v>499</v>
      </c>
      <c r="B14" s="5"/>
      <c r="C14" s="5"/>
      <c r="D14" s="6"/>
      <c r="E14" s="6"/>
      <c r="F14" s="6"/>
      <c r="G14" s="7"/>
      <c r="H14" s="7"/>
      <c r="I14" s="7"/>
      <c r="J14" s="7"/>
      <c r="K14" s="7"/>
      <c r="L14" s="7"/>
      <c r="M14" s="8"/>
    </row>
    <row r="15" spans="1:13" ht="15" customHeight="1">
      <c r="A15" s="112" t="s">
        <v>500</v>
      </c>
      <c r="B15" s="5"/>
      <c r="C15" s="5"/>
      <c r="D15" s="6"/>
      <c r="E15" s="6"/>
      <c r="F15" s="6"/>
      <c r="G15" s="7"/>
      <c r="H15" s="7"/>
      <c r="I15" s="7"/>
      <c r="J15" s="7"/>
      <c r="K15" s="7"/>
      <c r="L15" s="7"/>
      <c r="M15" s="8"/>
    </row>
    <row r="16" spans="1:13" ht="15" customHeight="1">
      <c r="A16" s="51" t="str">
        <f>'Set-up'!A22</f>
        <v>Партнеры ПИН</v>
      </c>
      <c r="B16" s="5">
        <f>'2020'!B16*(1+'Set-up'!G22)^($B$35-'2020'!$B$35)</f>
        <v>26027.546772140235</v>
      </c>
      <c r="C16" s="5">
        <f>'2020'!C16*(1+'Set-up'!G22)^($B$35-'2020'!$B$35)</f>
        <v>52055.09354428047</v>
      </c>
      <c r="D16" s="6">
        <f>MIN('Set-up'!H22+'Set-up'!O22*LN($B$35-Base_year),'Set-up'!$J22)</f>
        <v>0.025</v>
      </c>
      <c r="E16" s="105">
        <f aca="true" t="shared" si="7" ref="E16:E21">(D16+F16)/2</f>
        <v>0.025</v>
      </c>
      <c r="F16" s="6">
        <f>MIN('Set-up'!I22+'Set-up'!Q22*LN($B$35-Base_year),'Set-up'!$J22)</f>
        <v>0.025</v>
      </c>
      <c r="G16" s="7">
        <f aca="true" t="shared" si="8" ref="G16:G21">B16*D16</f>
        <v>650.6886693035059</v>
      </c>
      <c r="H16" s="7">
        <f aca="true" t="shared" si="9" ref="H16:H21">B16*E16</f>
        <v>650.6886693035059</v>
      </c>
      <c r="I16" s="7">
        <f aca="true" t="shared" si="10" ref="I16:I21">B16*F16</f>
        <v>650.6886693035059</v>
      </c>
      <c r="J16" s="7">
        <f aca="true" t="shared" si="11" ref="J16:J21">C16*D16</f>
        <v>1301.3773386070118</v>
      </c>
      <c r="K16" s="7">
        <f aca="true" t="shared" si="12" ref="K16:K21">C16*E16</f>
        <v>1301.3773386070118</v>
      </c>
      <c r="L16" s="7">
        <f aca="true" t="shared" si="13" ref="L16:L21">C16*F16</f>
        <v>1301.3773386070118</v>
      </c>
      <c r="M16" s="8">
        <f aca="true" t="shared" si="14" ref="M16:M26">AVERAGE(G16,I16:J16,L16)</f>
        <v>976.0330039552589</v>
      </c>
    </row>
    <row r="17" spans="1:13" ht="15" customHeight="1">
      <c r="A17" s="51" t="str">
        <f>'Set-up'!A23</f>
        <v>Женщины-партнеры МСМ</v>
      </c>
      <c r="B17" s="5">
        <f>'2020'!B17*(1+'Set-up'!G23)^($B$35-'2020'!$B$35)</f>
        <v>65068.86693035059</v>
      </c>
      <c r="C17" s="5">
        <f>'2020'!C17*(1+'Set-up'!G23)^($B$35-'2020'!$B$35)</f>
        <v>104110.18708856094</v>
      </c>
      <c r="D17" s="6">
        <f>MIN('Set-up'!H23+'Set-up'!O23*LN($B$35-Base_year),'Set-up'!$J23)</f>
        <v>0.04</v>
      </c>
      <c r="E17" s="105">
        <f t="shared" si="7"/>
        <v>0.04</v>
      </c>
      <c r="F17" s="6">
        <f>MIN('Set-up'!I23+'Set-up'!Q23*LN($B$35-Base_year),'Set-up'!$J23)</f>
        <v>0.04</v>
      </c>
      <c r="G17" s="7">
        <f t="shared" si="8"/>
        <v>2602.7546772140236</v>
      </c>
      <c r="H17" s="7">
        <f t="shared" si="9"/>
        <v>2602.7546772140236</v>
      </c>
      <c r="I17" s="7">
        <f t="shared" si="10"/>
        <v>2602.7546772140236</v>
      </c>
      <c r="J17" s="7">
        <f t="shared" si="11"/>
        <v>4164.407483542438</v>
      </c>
      <c r="K17" s="7">
        <f t="shared" si="12"/>
        <v>4164.407483542438</v>
      </c>
      <c r="L17" s="7">
        <f t="shared" si="13"/>
        <v>4164.407483542438</v>
      </c>
      <c r="M17" s="8">
        <f t="shared" si="14"/>
        <v>3383.581080378231</v>
      </c>
    </row>
    <row r="18" spans="1:13" ht="15" customHeight="1">
      <c r="A18" s="51" t="str">
        <f>'Set-up'!A24</f>
        <v>Партнеры клиентов РСБ</v>
      </c>
      <c r="B18" s="5">
        <f>'2020'!B18*(1+'Set-up'!G24)^($B$35-'2020'!$B$35)</f>
        <v>585619.8023731553</v>
      </c>
      <c r="C18" s="5">
        <f>'2020'!C18*(1+'Set-up'!G24)^($B$35-'2020'!$B$35)</f>
        <v>780826.403164207</v>
      </c>
      <c r="D18" s="6">
        <f>MIN('Set-up'!H24+'Set-up'!O24*LN($B$35-Base_year),'Set-up'!$J24)</f>
        <v>0.01</v>
      </c>
      <c r="E18" s="105">
        <f t="shared" si="7"/>
        <v>0.01</v>
      </c>
      <c r="F18" s="6">
        <f>MIN('Set-up'!I24+'Set-up'!Q24*LN($B$35-Base_year),'Set-up'!$J24)</f>
        <v>0.01</v>
      </c>
      <c r="G18" s="7">
        <f t="shared" si="8"/>
        <v>5856.198023731553</v>
      </c>
      <c r="H18" s="7">
        <f t="shared" si="9"/>
        <v>5856.198023731553</v>
      </c>
      <c r="I18" s="7">
        <f t="shared" si="10"/>
        <v>5856.198023731553</v>
      </c>
      <c r="J18" s="7">
        <f t="shared" si="11"/>
        <v>7808.26403164207</v>
      </c>
      <c r="K18" s="7">
        <f t="shared" si="12"/>
        <v>7808.26403164207</v>
      </c>
      <c r="L18" s="7">
        <f t="shared" si="13"/>
        <v>7808.26403164207</v>
      </c>
      <c r="M18" s="8">
        <f t="shared" si="14"/>
        <v>6832.231027686811</v>
      </c>
    </row>
    <row r="19" spans="1:13" ht="15" customHeight="1">
      <c r="A19" s="51" t="str">
        <f>'Set-up'!A25</f>
        <v>Дополнительная ГБНР1</v>
      </c>
      <c r="B19" s="5">
        <f>'2020'!B19*(1+'Set-up'!G25)^($B$35-'2020'!$B$35)</f>
        <v>0</v>
      </c>
      <c r="C19" s="5">
        <f>'2020'!C19*(1+'Set-up'!G25)^($B$35-'2020'!$B$35)</f>
        <v>0</v>
      </c>
      <c r="D19" s="6">
        <f>MIN('Set-up'!H25+'Set-up'!O25*LN($B$35-Base_year),'Set-up'!$J25)</f>
        <v>0</v>
      </c>
      <c r="E19" s="105">
        <f t="shared" si="7"/>
        <v>0</v>
      </c>
      <c r="F19" s="6">
        <f>MIN('Set-up'!I25+'Set-up'!Q25*LN($B$35-Base_year),'Set-up'!$J25)</f>
        <v>0</v>
      </c>
      <c r="G19" s="7">
        <f t="shared" si="8"/>
        <v>0</v>
      </c>
      <c r="H19" s="7">
        <f t="shared" si="9"/>
        <v>0</v>
      </c>
      <c r="I19" s="7">
        <f t="shared" si="10"/>
        <v>0</v>
      </c>
      <c r="J19" s="7">
        <f t="shared" si="11"/>
        <v>0</v>
      </c>
      <c r="K19" s="7">
        <f t="shared" si="12"/>
        <v>0</v>
      </c>
      <c r="L19" s="7">
        <f t="shared" si="13"/>
        <v>0</v>
      </c>
      <c r="M19" s="8">
        <f t="shared" si="14"/>
        <v>0</v>
      </c>
    </row>
    <row r="20" spans="1:13" ht="15" customHeight="1">
      <c r="A20" s="51" t="str">
        <f>'Set-up'!A26</f>
        <v>Дополнительная ГБНР2</v>
      </c>
      <c r="B20" s="5">
        <f>'2020'!B20*(1+'Set-up'!G26)^($B$35-'2020'!$B$35)</f>
        <v>0</v>
      </c>
      <c r="C20" s="5">
        <f>'2020'!C20*(1+'Set-up'!G26)^($B$35-'2020'!$B$35)</f>
        <v>0</v>
      </c>
      <c r="D20" s="6">
        <f>MIN('Set-up'!H26+'Set-up'!O26*LN($B$35-Base_year),'Set-up'!$J26)</f>
        <v>0</v>
      </c>
      <c r="E20" s="105">
        <f t="shared" si="7"/>
        <v>0</v>
      </c>
      <c r="F20" s="6">
        <f>MIN('Set-up'!I26+'Set-up'!Q26*LN($B$35-Base_year),'Set-up'!$J26)</f>
        <v>0</v>
      </c>
      <c r="G20" s="7">
        <f t="shared" si="8"/>
        <v>0</v>
      </c>
      <c r="H20" s="7">
        <f t="shared" si="9"/>
        <v>0</v>
      </c>
      <c r="I20" s="7">
        <f t="shared" si="10"/>
        <v>0</v>
      </c>
      <c r="J20" s="7">
        <f t="shared" si="11"/>
        <v>0</v>
      </c>
      <c r="K20" s="7">
        <f t="shared" si="12"/>
        <v>0</v>
      </c>
      <c r="L20" s="7">
        <f t="shared" si="13"/>
        <v>0</v>
      </c>
      <c r="M20" s="8">
        <f>AVERAGE(G20,I20:J20,L20)</f>
        <v>0</v>
      </c>
    </row>
    <row r="21" spans="1:13" ht="15" customHeight="1">
      <c r="A21" s="51" t="str">
        <f>'Set-up'!A27</f>
        <v>Дополнительная ГБНР3</v>
      </c>
      <c r="B21" s="5">
        <f>'2020'!B21*(1+'Set-up'!G27)^($B$35-'2020'!$B$35)</f>
        <v>0</v>
      </c>
      <c r="C21" s="5">
        <f>'2020'!C21*(1+'Set-up'!G27)^($B$35-'2020'!$B$35)</f>
        <v>0</v>
      </c>
      <c r="D21" s="6">
        <f>MIN('Set-up'!H27+'Set-up'!O27*LN($B$35-Base_year),'Set-up'!$J27)</f>
        <v>0</v>
      </c>
      <c r="E21" s="105">
        <f t="shared" si="7"/>
        <v>0</v>
      </c>
      <c r="F21" s="6">
        <f>MIN('Set-up'!I27+'Set-up'!Q27*LN($B$35-Base_year),'Set-up'!$J27)</f>
        <v>0</v>
      </c>
      <c r="G21" s="7">
        <f t="shared" si="8"/>
        <v>0</v>
      </c>
      <c r="H21" s="7">
        <f t="shared" si="9"/>
        <v>0</v>
      </c>
      <c r="I21" s="7">
        <f t="shared" si="10"/>
        <v>0</v>
      </c>
      <c r="J21" s="7">
        <f t="shared" si="11"/>
        <v>0</v>
      </c>
      <c r="K21" s="7">
        <f t="shared" si="12"/>
        <v>0</v>
      </c>
      <c r="L21" s="7">
        <f t="shared" si="13"/>
        <v>0</v>
      </c>
      <c r="M21" s="8">
        <f t="shared" si="14"/>
        <v>0</v>
      </c>
    </row>
    <row r="22" spans="1:16" ht="15" customHeight="1">
      <c r="A22" s="112" t="s">
        <v>497</v>
      </c>
      <c r="B22" s="202">
        <f>SUM(B16:B21)</f>
        <v>676716.2160756461</v>
      </c>
      <c r="C22" s="202">
        <f>SUM(C16:C21)</f>
        <v>936991.6837970484</v>
      </c>
      <c r="D22" s="6"/>
      <c r="E22" s="6"/>
      <c r="F22" s="6"/>
      <c r="G22" s="7"/>
      <c r="H22" s="7"/>
      <c r="I22" s="7"/>
      <c r="J22" s="7"/>
      <c r="K22" s="7"/>
      <c r="L22" s="7"/>
      <c r="M22" s="8">
        <f>SUM(M16:M21)</f>
        <v>11191.8451120203</v>
      </c>
      <c r="N22" s="204"/>
      <c r="O22" s="205"/>
      <c r="P22" s="206"/>
    </row>
    <row r="23" spans="1:16" ht="15" customHeight="1">
      <c r="A23" s="113"/>
      <c r="B23" s="5"/>
      <c r="C23" s="5"/>
      <c r="D23" s="6"/>
      <c r="E23" s="6"/>
      <c r="F23" s="6"/>
      <c r="G23" s="7"/>
      <c r="H23" s="7"/>
      <c r="I23" s="7"/>
      <c r="J23" s="7"/>
      <c r="K23" s="7"/>
      <c r="L23" s="7"/>
      <c r="M23" s="8"/>
      <c r="N23" s="204"/>
      <c r="O23" s="205"/>
      <c r="P23" s="206"/>
    </row>
    <row r="24" spans="1:16" ht="15" customHeight="1">
      <c r="A24" s="112" t="s">
        <v>498</v>
      </c>
      <c r="B24" s="5"/>
      <c r="C24" s="5"/>
      <c r="D24" s="6"/>
      <c r="E24" s="6"/>
      <c r="F24" s="6"/>
      <c r="G24" s="7"/>
      <c r="H24" s="7"/>
      <c r="I24" s="7"/>
      <c r="J24" s="7"/>
      <c r="K24" s="7"/>
      <c r="L24" s="7"/>
      <c r="M24" s="56"/>
      <c r="N24" s="204"/>
      <c r="O24" s="205"/>
      <c r="P24" s="206"/>
    </row>
    <row r="25" spans="1:16" ht="15" customHeight="1">
      <c r="A25" s="113" t="str">
        <f>'Set-up'!A30</f>
        <v>Городские женщины ГНР</v>
      </c>
      <c r="B25" s="5">
        <f>'2020'!B25*(1+'Set-up'!G30)^($B$35-'2020'!$B$35)</f>
        <v>11092093.268709633</v>
      </c>
      <c r="C25" s="5">
        <f>'2020'!C25*(1+'Set-up'!G30)^($B$35-'2020'!$B$35)</f>
        <v>11076314.756111234</v>
      </c>
      <c r="D25" s="6">
        <f>MIN('Set-up'!H30+'Set-up'!O30*LN($B$35-Base_year),'Set-up'!$J30)</f>
        <v>0.0015</v>
      </c>
      <c r="E25" s="105">
        <f>(D25+F25)/2</f>
        <v>0.0015</v>
      </c>
      <c r="F25" s="6">
        <f>MIN('Set-up'!I30+'Set-up'!Q30*LN($B$35-Base_year),'Set-up'!$J30)</f>
        <v>0.0015</v>
      </c>
      <c r="G25" s="7">
        <f>B25*D25</f>
        <v>16638.13990306445</v>
      </c>
      <c r="H25" s="7">
        <f>B25*E25</f>
        <v>16638.13990306445</v>
      </c>
      <c r="I25" s="7">
        <f>B25*F25</f>
        <v>16638.13990306445</v>
      </c>
      <c r="J25" s="7">
        <f>C25*D25</f>
        <v>16614.472134166852</v>
      </c>
      <c r="K25" s="7">
        <f>C25*E25</f>
        <v>16614.472134166852</v>
      </c>
      <c r="L25" s="7">
        <f>C25*F25</f>
        <v>16614.472134166852</v>
      </c>
      <c r="M25" s="56">
        <f t="shared" si="14"/>
        <v>16626.30601861565</v>
      </c>
      <c r="N25" s="204"/>
      <c r="O25" s="205"/>
      <c r="P25" s="206"/>
    </row>
    <row r="26" spans="1:17" ht="15" customHeight="1">
      <c r="A26" s="113" t="str">
        <f>'Set-up'!A31</f>
        <v>Сельские женщины ГНР</v>
      </c>
      <c r="B26" s="5">
        <f>'2020'!B26*(1+'Set-up'!G31)^($B$35-'2020'!$B$35)</f>
        <v>1232454.8076344035</v>
      </c>
      <c r="C26" s="5">
        <f>'2020'!C26*(1+'Set-up'!G31)^($B$35-'2020'!$B$35)</f>
        <v>1230701.6395679144</v>
      </c>
      <c r="D26" s="6">
        <f>MIN('Set-up'!H31+'Set-up'!O31*LN($B$35-Base_year),'Set-up'!$J31)</f>
        <v>0.00055</v>
      </c>
      <c r="E26" s="105">
        <f>(D26+F26)/2</f>
        <v>0.00055</v>
      </c>
      <c r="F26" s="6">
        <f>MIN('Set-up'!I31+'Set-up'!Q31*LN($B$35-Base_year),'Set-up'!$J31)</f>
        <v>0.00055</v>
      </c>
      <c r="G26" s="7">
        <f>B26*D26</f>
        <v>677.850144198922</v>
      </c>
      <c r="H26" s="7">
        <f>B26*E26</f>
        <v>677.850144198922</v>
      </c>
      <c r="I26" s="7">
        <f>B26*F26</f>
        <v>677.850144198922</v>
      </c>
      <c r="J26" s="7">
        <f>C26*D26</f>
        <v>676.885901762353</v>
      </c>
      <c r="K26" s="7">
        <f>C26*E26</f>
        <v>676.885901762353</v>
      </c>
      <c r="L26" s="7">
        <f>C26*F26</f>
        <v>676.885901762353</v>
      </c>
      <c r="M26" s="56">
        <f t="shared" si="14"/>
        <v>677.3680229806375</v>
      </c>
      <c r="N26" s="56"/>
      <c r="O26" s="94"/>
      <c r="P26" s="54"/>
      <c r="Q26" s="52"/>
    </row>
    <row r="27" spans="1:17" ht="15" customHeight="1">
      <c r="A27" s="112" t="s">
        <v>493</v>
      </c>
      <c r="B27" s="8">
        <f>SUM(B25:B26)</f>
        <v>12324548.076344037</v>
      </c>
      <c r="C27" s="8">
        <f>SUM(C25:C26)</f>
        <v>12307016.39567915</v>
      </c>
      <c r="D27" s="6"/>
      <c r="E27" s="6"/>
      <c r="F27" s="6"/>
      <c r="G27" s="7"/>
      <c r="H27" s="7"/>
      <c r="I27" s="7"/>
      <c r="J27" s="7"/>
      <c r="K27" s="7"/>
      <c r="L27" s="7"/>
      <c r="M27" s="56">
        <f>SUM(M25:M26)</f>
        <v>17303.67404159629</v>
      </c>
      <c r="N27" s="56"/>
      <c r="O27" s="94"/>
      <c r="P27" s="54"/>
      <c r="Q27" s="52"/>
    </row>
    <row r="28" spans="1:17" ht="15" customHeight="1">
      <c r="A28" s="113"/>
      <c r="B28" s="7"/>
      <c r="C28" s="7"/>
      <c r="D28" s="6"/>
      <c r="E28" s="6"/>
      <c r="F28" s="6"/>
      <c r="G28" s="7"/>
      <c r="H28" s="7"/>
      <c r="I28" s="7"/>
      <c r="J28" s="7"/>
      <c r="K28" s="7"/>
      <c r="L28" s="7"/>
      <c r="M28" s="56"/>
      <c r="N28" s="56"/>
      <c r="O28" s="94"/>
      <c r="P28" s="54"/>
      <c r="Q28" s="52"/>
    </row>
    <row r="29" spans="1:16" ht="15" customHeight="1">
      <c r="A29" s="109" t="s">
        <v>494</v>
      </c>
      <c r="B29" s="57"/>
      <c r="C29" s="57"/>
      <c r="D29" s="65"/>
      <c r="E29" s="53"/>
      <c r="F29" s="59"/>
      <c r="G29" s="57"/>
      <c r="H29" s="57"/>
      <c r="I29" s="57"/>
      <c r="J29" s="57"/>
      <c r="K29" s="57"/>
      <c r="L29" s="57"/>
      <c r="M29" s="82">
        <f>IF('Set-up'!G19&lt;&gt;"",M22,IF('Set-up'!G20&lt;&gt;"",M27,"0"))</f>
        <v>11191.8451120203</v>
      </c>
      <c r="N29" s="93"/>
      <c r="O29" s="80"/>
      <c r="P29" s="54"/>
    </row>
    <row r="30" spans="1:16" ht="15" customHeight="1">
      <c r="A30" s="115"/>
      <c r="B30" s="8"/>
      <c r="C30" s="8"/>
      <c r="D30" s="8"/>
      <c r="F30" s="8"/>
      <c r="G30" s="8"/>
      <c r="H30" s="8"/>
      <c r="I30" s="8"/>
      <c r="J30" s="8"/>
      <c r="K30" s="8"/>
      <c r="L30" s="8"/>
      <c r="M30" s="8"/>
      <c r="N30" s="8"/>
      <c r="O30" s="54"/>
      <c r="P30" s="81"/>
    </row>
    <row r="31" spans="1:16" ht="22.5" customHeight="1">
      <c r="A31" s="101" t="str">
        <f>IF(B25="0","No Risk Population","Население вне групп риска - нет данных")</f>
        <v>Население вне групп риска - нет данных</v>
      </c>
      <c r="B31" s="201">
        <f>IF('Set-up'!$G$19&lt;&gt;"",B36-(C12+C22),B36-(C12+C27))</f>
        <v>22298871.654619552</v>
      </c>
      <c r="C31" s="201">
        <f>IF('Set-up'!$G$19&lt;&gt;"",B36-(B12+B22),B36-(B12+B27))</f>
        <v>23069116.558643546</v>
      </c>
      <c r="D31" s="6"/>
      <c r="E31" s="6"/>
      <c r="F31" s="6"/>
      <c r="G31" s="7"/>
      <c r="H31" s="7"/>
      <c r="I31" s="7"/>
      <c r="J31" s="7"/>
      <c r="K31" s="7"/>
      <c r="L31" s="7"/>
      <c r="M31" s="8"/>
      <c r="N31" s="8"/>
      <c r="P31" s="79"/>
    </row>
    <row r="32" spans="1:16" ht="15" customHeight="1" thickBot="1">
      <c r="A32" s="119"/>
      <c r="B32" s="13"/>
      <c r="C32" s="13"/>
      <c r="D32" s="13"/>
      <c r="E32" s="13"/>
      <c r="F32" s="13"/>
      <c r="G32" s="14"/>
      <c r="H32" s="14"/>
      <c r="I32" s="15"/>
      <c r="J32" s="14"/>
      <c r="K32" s="14"/>
      <c r="L32" s="15"/>
      <c r="M32" s="13"/>
      <c r="N32" s="60"/>
      <c r="P32" s="77"/>
    </row>
    <row r="33" spans="1:15" ht="15" customHeight="1">
      <c r="A33" s="101" t="s">
        <v>495</v>
      </c>
      <c r="B33" s="201">
        <f>IF('Set-up'!G19&lt;&gt;"",SUM($B$12,$B$22,$C$31),$B$12+$B$27+$C$31)</f>
        <v>25045956.886949126</v>
      </c>
      <c r="C33" s="201">
        <f>IF('Set-up'!G19&lt;&gt;"",SUM($C$12,$C$22,$B$31),$C$12+$C$27+$B$31)</f>
        <v>25045956.886949126</v>
      </c>
      <c r="D33" s="8"/>
      <c r="E33" s="8"/>
      <c r="F33" s="8"/>
      <c r="G33" s="8"/>
      <c r="H33" s="8"/>
      <c r="I33" s="8"/>
      <c r="J33" s="8"/>
      <c r="K33" s="8"/>
      <c r="L33" s="8"/>
      <c r="M33" s="8">
        <f>M12+M29</f>
        <v>126058.33234491653</v>
      </c>
      <c r="N33" s="8"/>
      <c r="O33" s="78"/>
    </row>
    <row r="34" spans="1:14" ht="15" customHeight="1">
      <c r="A34" s="473"/>
      <c r="B34" s="8"/>
      <c r="C34" s="8"/>
      <c r="D34" s="8"/>
      <c r="E34" s="8"/>
      <c r="F34" s="8"/>
      <c r="G34" s="8"/>
      <c r="H34" s="8"/>
      <c r="I34" s="8"/>
      <c r="J34" s="8"/>
      <c r="K34" s="8"/>
      <c r="L34" s="8"/>
      <c r="M34" s="8"/>
      <c r="N34" s="8"/>
    </row>
    <row r="35" spans="1:14" ht="15" customHeight="1">
      <c r="A35" s="101" t="s">
        <v>347</v>
      </c>
      <c r="B35" s="19">
        <v>2030</v>
      </c>
      <c r="C35" s="8"/>
      <c r="D35" s="8"/>
      <c r="E35" s="8"/>
      <c r="F35" s="8"/>
      <c r="G35" s="8"/>
      <c r="H35" s="8"/>
      <c r="I35" s="8"/>
      <c r="J35" s="8"/>
      <c r="K35" s="8"/>
      <c r="L35" s="8"/>
      <c r="M35" s="8"/>
      <c r="N35" s="8"/>
    </row>
    <row r="36" spans="1:14" ht="15" customHeight="1">
      <c r="A36" s="101" t="s">
        <v>496</v>
      </c>
      <c r="B36" s="8">
        <f>'Set-up'!$B$6*(1+'Set-up'!$D$6)^('2005'!$B$35-Base_year)*(1+'Set-up'!$E$6)^('2010'!$B$35-'2005'!$B$35)*(1+'Set-up'!$F$6)^('2020'!$B$35-'2010'!$B$35)*(1+'Set-up'!$G$6)^('2030'!$B$35-'2020'!$B$35)</f>
        <v>25045956.886949126</v>
      </c>
      <c r="C36" s="8"/>
      <c r="D36" s="8"/>
      <c r="E36" s="8"/>
      <c r="F36" s="8"/>
      <c r="G36" s="8"/>
      <c r="H36" s="8"/>
      <c r="I36" s="8"/>
      <c r="J36" s="8"/>
      <c r="K36" s="8"/>
      <c r="L36" s="8"/>
      <c r="M36" s="8"/>
      <c r="N36" s="8"/>
    </row>
    <row r="37" spans="1:14" ht="15" customHeight="1">
      <c r="A37" s="2"/>
      <c r="B37" s="8"/>
      <c r="C37" s="8"/>
      <c r="D37" s="8"/>
      <c r="E37" s="8"/>
      <c r="F37" s="8"/>
      <c r="G37" s="8"/>
      <c r="H37" s="8"/>
      <c r="I37" s="8"/>
      <c r="J37" s="8"/>
      <c r="K37" s="8"/>
      <c r="L37" s="8"/>
      <c r="M37" s="8"/>
      <c r="N37" s="8"/>
    </row>
    <row r="38" spans="1:14" ht="15" customHeight="1">
      <c r="A38" s="2"/>
      <c r="B38" s="8"/>
      <c r="C38" s="8"/>
      <c r="K38" s="8"/>
      <c r="L38" s="8"/>
      <c r="M38" s="8"/>
      <c r="N38" s="8"/>
    </row>
  </sheetData>
  <sheetProtection sheet="1" objects="1" scenarios="1" selectLockedCells="1"/>
  <mergeCells count="5">
    <mergeCell ref="M1:M2"/>
    <mergeCell ref="A1:A2"/>
    <mergeCell ref="B1:C1"/>
    <mergeCell ref="D1:F1"/>
    <mergeCell ref="G1:L1"/>
  </mergeCells>
  <printOptions/>
  <pageMargins left="0.75" right="0.75" top="1" bottom="1" header="0.5" footer="0.5"/>
  <pageSetup fitToHeight="1" fitToWidth="1" horizontalDpi="600" verticalDpi="600" orientation="landscape" paperSize="9" scale="56" r:id="rId2"/>
  <drawing r:id="rId1"/>
</worksheet>
</file>

<file path=xl/worksheets/sheet13.xml><?xml version="1.0" encoding="utf-8"?>
<worksheet xmlns="http://schemas.openxmlformats.org/spreadsheetml/2006/main" xmlns:r="http://schemas.openxmlformats.org/officeDocument/2006/relationships">
  <sheetPr codeName="Sheet5"/>
  <dimension ref="A1:Z504"/>
  <sheetViews>
    <sheetView workbookViewId="0" topLeftCell="A1">
      <pane xSplit="1" ySplit="2" topLeftCell="F3" activePane="bottomRight" state="frozen"/>
      <selection pane="topLeft" activeCell="A1" sqref="A1"/>
      <selection pane="topRight" activeCell="B1" sqref="B1"/>
      <selection pane="bottomLeft" activeCell="A3" sqref="A3"/>
      <selection pane="bottomRight" activeCell="N3" sqref="N3:N503"/>
    </sheetView>
  </sheetViews>
  <sheetFormatPr defaultColWidth="9.140625" defaultRowHeight="12.75"/>
  <cols>
    <col min="1" max="1" width="37.421875" style="0" customWidth="1"/>
    <col min="2" max="2" width="10.00390625" style="0" bestFit="1" customWidth="1"/>
    <col min="3" max="3" width="8.7109375" style="0" customWidth="1"/>
    <col min="4" max="4" width="8.421875" style="172" customWidth="1"/>
    <col min="5" max="6" width="9.57421875" style="0" customWidth="1"/>
    <col min="7" max="7" width="8.7109375" style="0" customWidth="1"/>
    <col min="8" max="8" width="10.28125" style="0" customWidth="1"/>
    <col min="9" max="9" width="8.28125" style="0" bestFit="1" customWidth="1"/>
    <col min="10" max="10" width="5.7109375" style="0" customWidth="1"/>
    <col min="11" max="11" width="14.00390625" style="0" customWidth="1"/>
    <col min="12" max="12" width="12.57421875" style="0" bestFit="1" customWidth="1"/>
    <col min="13" max="13" width="17.28125" style="0" customWidth="1"/>
    <col min="14" max="14" width="13.140625" style="0" customWidth="1"/>
    <col min="16" max="16" width="12.28125" style="0" customWidth="1"/>
    <col min="17" max="17" width="11.140625" style="0" customWidth="1"/>
    <col min="18" max="18" width="10.7109375" style="0" customWidth="1"/>
    <col min="19" max="19" width="12.28125" style="0" customWidth="1"/>
    <col min="20" max="20" width="10.421875" style="0" customWidth="1"/>
    <col min="21" max="21" width="21.8515625" style="0" customWidth="1"/>
    <col min="24" max="24" width="19.140625" style="0" customWidth="1"/>
    <col min="25" max="25" width="11.140625" style="0" bestFit="1" customWidth="1"/>
    <col min="26" max="26" width="11.28125" style="0" bestFit="1" customWidth="1"/>
  </cols>
  <sheetData>
    <row r="1" spans="1:23" ht="12.75">
      <c r="A1" s="91"/>
      <c r="B1" s="17" t="s">
        <v>69</v>
      </c>
      <c r="C1" s="17" t="s">
        <v>70</v>
      </c>
      <c r="D1" s="191" t="s">
        <v>71</v>
      </c>
      <c r="E1" s="17" t="s">
        <v>72</v>
      </c>
      <c r="F1" s="17"/>
      <c r="G1" s="17" t="s">
        <v>73</v>
      </c>
      <c r="H1" s="17" t="s">
        <v>74</v>
      </c>
      <c r="I1" s="17" t="s">
        <v>75</v>
      </c>
      <c r="J1" s="17" t="s">
        <v>76</v>
      </c>
      <c r="K1" s="17" t="s">
        <v>77</v>
      </c>
      <c r="L1" s="17"/>
      <c r="M1" s="17" t="s">
        <v>78</v>
      </c>
      <c r="N1" s="17" t="s">
        <v>79</v>
      </c>
      <c r="O1" s="17" t="s">
        <v>80</v>
      </c>
      <c r="P1" s="17" t="s">
        <v>81</v>
      </c>
      <c r="R1" s="17" t="s">
        <v>82</v>
      </c>
      <c r="S1" s="17" t="s">
        <v>0</v>
      </c>
      <c r="T1" s="17" t="s">
        <v>82</v>
      </c>
      <c r="U1" t="s">
        <v>83</v>
      </c>
      <c r="V1" s="17" t="s">
        <v>115</v>
      </c>
      <c r="W1" s="17" t="s">
        <v>118</v>
      </c>
    </row>
    <row r="2" spans="1:26" ht="12.75">
      <c r="A2" s="17" t="s">
        <v>84</v>
      </c>
      <c r="B2" s="170" t="s">
        <v>85</v>
      </c>
      <c r="C2" s="170" t="s">
        <v>86</v>
      </c>
      <c r="D2" s="192" t="s">
        <v>87</v>
      </c>
      <c r="E2" s="170" t="s">
        <v>88</v>
      </c>
      <c r="F2" s="170"/>
      <c r="G2" s="170" t="s">
        <v>89</v>
      </c>
      <c r="H2" s="170" t="s">
        <v>90</v>
      </c>
      <c r="I2" s="170" t="s">
        <v>91</v>
      </c>
      <c r="J2" s="170"/>
      <c r="K2" s="170" t="s">
        <v>92</v>
      </c>
      <c r="L2" s="17" t="s">
        <v>93</v>
      </c>
      <c r="M2" s="170" t="s">
        <v>94</v>
      </c>
      <c r="N2" s="170" t="s">
        <v>95</v>
      </c>
      <c r="O2" s="170" t="s">
        <v>96</v>
      </c>
      <c r="P2" s="17" t="s">
        <v>97</v>
      </c>
      <c r="Q2" s="170" t="s">
        <v>0</v>
      </c>
      <c r="R2" s="170" t="s">
        <v>98</v>
      </c>
      <c r="S2" s="170" t="s">
        <v>99</v>
      </c>
      <c r="T2" s="170" t="s">
        <v>100</v>
      </c>
      <c r="W2" s="17" t="s">
        <v>119</v>
      </c>
      <c r="X2" s="17" t="s">
        <v>109</v>
      </c>
      <c r="Y2" s="17" t="s">
        <v>110</v>
      </c>
      <c r="Z2" s="163" t="s">
        <v>111</v>
      </c>
    </row>
    <row r="3" spans="1:26" ht="12.75">
      <c r="A3" s="91">
        <f>'Set-up'!M7</f>
        <v>1980</v>
      </c>
      <c r="B3" s="171">
        <f>E3-C3-D3</f>
        <v>76.42196244394691</v>
      </c>
      <c r="C3" s="171">
        <f>E3*K3</f>
        <v>0.8390375560530823</v>
      </c>
      <c r="D3" s="172">
        <v>0</v>
      </c>
      <c r="E3" s="171">
        <f>Adult_pop_in_1980</f>
        <v>77.261</v>
      </c>
      <c r="F3" s="92">
        <f aca="true" t="shared" si="0" ref="F3:F34">B3/E3</f>
        <v>0.9891402187901647</v>
      </c>
      <c r="G3" s="171">
        <f aca="true" t="shared" si="1" ref="G3:G66">E3*b*Solution_interval</f>
        <v>0.23082110055000002</v>
      </c>
      <c r="H3" s="171">
        <f aca="true" t="shared" si="2" ref="H3:H66">b*(B3+C3+(1-v)*e*D3)*Solution_interval</f>
        <v>0.23082110055000002</v>
      </c>
      <c r="I3" s="91">
        <f aca="true" t="shared" si="3" ref="I3:I34">I4/(1+gr*Solution_interval)</f>
        <v>0.10267592917579399</v>
      </c>
      <c r="J3" s="91">
        <f aca="true" t="shared" si="4" ref="J3:J34">force_of_infection</f>
        <v>29.745695056150083</v>
      </c>
      <c r="K3" s="182">
        <f>fo</f>
        <v>0.010859781209835264</v>
      </c>
      <c r="L3" s="177">
        <f aca="true" t="shared" si="5" ref="L3:L34">phi*P3</f>
        <v>0</v>
      </c>
      <c r="M3" s="178">
        <f aca="true" t="shared" si="6" ref="M3:M34">MIN(1,J3*D3/E3)</f>
        <v>0</v>
      </c>
      <c r="N3" s="403">
        <f aca="true" t="shared" si="7" ref="N3:N66">IF(ROUND(A3,1)=t0,0.01,0)</f>
        <v>0.01</v>
      </c>
      <c r="O3" s="177">
        <v>0</v>
      </c>
      <c r="P3" s="174">
        <v>0</v>
      </c>
      <c r="Q3" s="179">
        <f aca="true" t="shared" si="8" ref="Q3:Q34">D3/E3</f>
        <v>0</v>
      </c>
      <c r="R3" s="179">
        <f aca="true" t="shared" si="9" ref="R3:R34">(C3+D3)/E3</f>
        <v>0.010859781209835264</v>
      </c>
      <c r="S3" s="180">
        <f aca="true" t="shared" si="10" ref="S3:S34">D3/(C3+D3)</f>
        <v>0</v>
      </c>
      <c r="T3" s="179">
        <f aca="true" t="shared" si="11" ref="T3:T34">B3/E3</f>
        <v>0.9891402187901647</v>
      </c>
      <c r="U3">
        <f aca="true" t="shared" si="12" ref="U3:U34">Q3*100</f>
        <v>0</v>
      </c>
      <c r="V3">
        <f>IF(ISNUMBER('Set-up'!$N$7)=FALSE,"",('Set-up'!$N$7-'EPP model'!U3)^2)</f>
      </c>
      <c r="W3" t="e">
        <f>IF(ISNUMBER('Set-up'!$N$7)=FALSE,NA()=FALSE,('Set-up'!$N$7))</f>
        <v>#N/A</v>
      </c>
      <c r="X3" s="17" t="s">
        <v>112</v>
      </c>
      <c r="Y3" s="17" t="s">
        <v>113</v>
      </c>
      <c r="Z3" s="163" t="s">
        <v>82</v>
      </c>
    </row>
    <row r="4" spans="1:25" ht="12.75">
      <c r="A4" s="91">
        <f>0.1+A3</f>
        <v>1980.1</v>
      </c>
      <c r="B4" s="171">
        <f aca="true" t="shared" si="13" ref="B4:B67">MAX(0,B3+(1-K4)*I4-B3*mu*Solution_interval)</f>
        <v>76.2038717670318</v>
      </c>
      <c r="C4" s="171">
        <f aca="true" t="shared" si="14" ref="C4:C67">MAX(0,C3+K4*I4-(mu+M3+N3)*C3*Solution_interval)</f>
        <v>0.8358040985854608</v>
      </c>
      <c r="D4" s="172">
        <f aca="true" t="shared" si="15" ref="D4:D67">MAX(0,D3-P3+((M3+N3)*C3-mu*D3)*Solution_interval)</f>
        <v>0.0008390375560530824</v>
      </c>
      <c r="E4" s="171">
        <f aca="true" t="shared" si="16" ref="E4:E35">B4+C4+D4</f>
        <v>77.0405149031733</v>
      </c>
      <c r="F4" s="92">
        <f t="shared" si="0"/>
        <v>0.9891402187901649</v>
      </c>
      <c r="G4" s="171">
        <f t="shared" si="1"/>
        <v>0.23016239029897545</v>
      </c>
      <c r="H4" s="171">
        <f t="shared" si="2"/>
        <v>0.2301612472589828</v>
      </c>
      <c r="I4" s="91">
        <f t="shared" si="3"/>
        <v>0.10280019025356911</v>
      </c>
      <c r="J4" s="91">
        <f t="shared" si="4"/>
        <v>29.745695056150083</v>
      </c>
      <c r="K4" s="182">
        <f aca="true" t="shared" si="17" ref="K4:K67">EXP(phi*((B3/E3)-(1-fo)))/(EXP(phi*((B3/E3)-(1-fo)))+1/fo-1)</f>
        <v>0.010859781209823338</v>
      </c>
      <c r="L4" s="177">
        <f t="shared" si="5"/>
        <v>0</v>
      </c>
      <c r="M4" s="178">
        <f>MIN(1,J4*D4/E4)</f>
        <v>0.000323956236720121</v>
      </c>
      <c r="N4" s="403">
        <f t="shared" si="7"/>
        <v>0</v>
      </c>
      <c r="O4" s="177">
        <f aca="true" t="shared" si="18" ref="O4:O67">(M3+N3)*C3*Solution_interval</f>
        <v>0.0008390375560530824</v>
      </c>
      <c r="P4" s="174">
        <v>0</v>
      </c>
      <c r="Q4" s="179">
        <f t="shared" si="8"/>
        <v>1.0890861219030124E-05</v>
      </c>
      <c r="R4" s="179">
        <f t="shared" si="9"/>
        <v>0.010859781209835249</v>
      </c>
      <c r="S4" s="180">
        <f t="shared" si="10"/>
        <v>0.0010028619369575077</v>
      </c>
      <c r="T4" s="179">
        <f t="shared" si="11"/>
        <v>0.9891402187901649</v>
      </c>
      <c r="U4" s="181">
        <f t="shared" si="12"/>
        <v>0.0010890861219030124</v>
      </c>
      <c r="X4" s="17" t="s">
        <v>114</v>
      </c>
      <c r="Y4" s="17" t="s">
        <v>81</v>
      </c>
    </row>
    <row r="5" spans="1:26" ht="12.75">
      <c r="A5" s="91">
        <f aca="true" t="shared" si="19" ref="A5:A68">0.1+A4</f>
        <v>1980.1999999999998</v>
      </c>
      <c r="B5" s="171">
        <f t="shared" si="13"/>
        <v>75.98681671320148</v>
      </c>
      <c r="C5" s="171">
        <f t="shared" si="14"/>
        <v>0.8333974832034404</v>
      </c>
      <c r="D5" s="172">
        <f t="shared" si="15"/>
        <v>0.000862603143608332</v>
      </c>
      <c r="E5" s="171">
        <f t="shared" si="16"/>
        <v>76.82107679954852</v>
      </c>
      <c r="F5" s="92">
        <f t="shared" si="0"/>
        <v>0.9891402187901648</v>
      </c>
      <c r="G5" s="171">
        <f t="shared" si="1"/>
        <v>0.22950680799249124</v>
      </c>
      <c r="H5" s="171">
        <f t="shared" si="2"/>
        <v>0.22950563284856132</v>
      </c>
      <c r="I5" s="91">
        <f t="shared" si="3"/>
        <v>0.10292460171532979</v>
      </c>
      <c r="J5" s="91">
        <f t="shared" si="4"/>
        <v>29.745695056150083</v>
      </c>
      <c r="K5" s="182">
        <f t="shared" si="17"/>
        <v>0.01085978120984719</v>
      </c>
      <c r="L5" s="177">
        <f t="shared" si="5"/>
        <v>0</v>
      </c>
      <c r="M5" s="178">
        <f t="shared" si="6"/>
        <v>0.00033400638383658635</v>
      </c>
      <c r="N5" s="403">
        <f t="shared" si="7"/>
        <v>0</v>
      </c>
      <c r="O5" s="177">
        <f t="shared" si="18"/>
        <v>2.707639504129989E-05</v>
      </c>
      <c r="P5" s="174">
        <v>0</v>
      </c>
      <c r="Q5" s="179">
        <f t="shared" si="8"/>
        <v>1.1228730181160407E-05</v>
      </c>
      <c r="R5" s="179">
        <f t="shared" si="9"/>
        <v>0.010859781209835264</v>
      </c>
      <c r="S5" s="180">
        <f t="shared" si="10"/>
        <v>0.0010339738862317964</v>
      </c>
      <c r="T5" s="179">
        <f t="shared" si="11"/>
        <v>0.9891402187901648</v>
      </c>
      <c r="U5" s="181">
        <f t="shared" si="12"/>
        <v>0.0011228730181160407</v>
      </c>
      <c r="X5" s="177">
        <v>0</v>
      </c>
      <c r="Y5" s="175">
        <v>0</v>
      </c>
      <c r="Z5" s="172">
        <f>Y5</f>
        <v>0</v>
      </c>
    </row>
    <row r="6" spans="1:26" ht="12.75">
      <c r="A6" s="91">
        <f t="shared" si="19"/>
        <v>1980.2999999999997</v>
      </c>
      <c r="B6" s="171">
        <f t="shared" si="13"/>
        <v>75.77079309800119</v>
      </c>
      <c r="C6" s="171">
        <f t="shared" si="14"/>
        <v>0.8310015309905443</v>
      </c>
      <c r="D6" s="172">
        <f t="shared" si="15"/>
        <v>0.0008868297379647191</v>
      </c>
      <c r="E6" s="171">
        <f t="shared" si="16"/>
        <v>76.6026814587297</v>
      </c>
      <c r="F6" s="92">
        <f t="shared" si="0"/>
        <v>0.9891402187901647</v>
      </c>
      <c r="G6" s="171">
        <f t="shared" si="1"/>
        <v>0.22885434099202798</v>
      </c>
      <c r="H6" s="171">
        <f t="shared" si="2"/>
        <v>0.2288531328436562</v>
      </c>
      <c r="I6" s="91">
        <f t="shared" si="3"/>
        <v>0.10304916374307463</v>
      </c>
      <c r="J6" s="91">
        <f t="shared" si="4"/>
        <v>29.745695056150083</v>
      </c>
      <c r="K6" s="182">
        <f t="shared" si="17"/>
        <v>0.010859781209835264</v>
      </c>
      <c r="L6" s="177">
        <f t="shared" si="5"/>
        <v>0</v>
      </c>
      <c r="M6" s="178">
        <f>MIN(1,J6*D6/E6)</f>
        <v>0.0003443661037693061</v>
      </c>
      <c r="N6" s="403">
        <f t="shared" si="7"/>
        <v>0</v>
      </c>
      <c r="O6" s="177">
        <f t="shared" si="18"/>
        <v>2.7836007966329333E-05</v>
      </c>
      <c r="P6" s="174">
        <v>0</v>
      </c>
      <c r="Q6" s="179">
        <f t="shared" si="8"/>
        <v>1.1577006458220468E-05</v>
      </c>
      <c r="R6" s="179">
        <f t="shared" si="9"/>
        <v>0.010859781209835264</v>
      </c>
      <c r="S6" s="180">
        <f t="shared" si="10"/>
        <v>0.0010660441711049982</v>
      </c>
      <c r="T6" s="179">
        <f t="shared" si="11"/>
        <v>0.9891402187901647</v>
      </c>
      <c r="U6" s="181">
        <f t="shared" si="12"/>
        <v>0.0011577006458220469</v>
      </c>
      <c r="X6" s="177">
        <v>1</v>
      </c>
      <c r="Y6" s="175">
        <v>0.01</v>
      </c>
      <c r="Z6" s="172">
        <f aca="true" t="shared" si="20" ref="Z6:Z25">Z5+Y6</f>
        <v>0.01</v>
      </c>
    </row>
    <row r="7" spans="1:26" ht="12.75">
      <c r="A7" s="91">
        <f t="shared" si="19"/>
        <v>1980.3999999999996</v>
      </c>
      <c r="B7" s="171">
        <f t="shared" si="13"/>
        <v>75.5557967546656</v>
      </c>
      <c r="C7" s="171">
        <f t="shared" si="14"/>
        <v>0.8286161777106246</v>
      </c>
      <c r="D7" s="172">
        <f t="shared" si="15"/>
        <v>0.0009117358283076448</v>
      </c>
      <c r="E7" s="171">
        <f t="shared" si="16"/>
        <v>76.38532466820453</v>
      </c>
      <c r="F7" s="92">
        <f t="shared" si="0"/>
        <v>0.9891402187901647</v>
      </c>
      <c r="G7" s="171">
        <f t="shared" si="1"/>
        <v>0.22820497671249448</v>
      </c>
      <c r="H7" s="171">
        <f t="shared" si="2"/>
        <v>0.228203734633988</v>
      </c>
      <c r="I7" s="91">
        <f t="shared" si="3"/>
        <v>0.1031738765190225</v>
      </c>
      <c r="J7" s="91">
        <f t="shared" si="4"/>
        <v>29.745695056150083</v>
      </c>
      <c r="K7" s="182">
        <f t="shared" si="17"/>
        <v>0.010859781209823338</v>
      </c>
      <c r="L7" s="177">
        <f t="shared" si="5"/>
        <v>0</v>
      </c>
      <c r="M7" s="178">
        <f t="shared" si="6"/>
        <v>0.0003550448471405716</v>
      </c>
      <c r="N7" s="403">
        <f t="shared" si="7"/>
        <v>0</v>
      </c>
      <c r="O7" s="177">
        <f t="shared" si="18"/>
        <v>2.8616875945354206E-05</v>
      </c>
      <c r="P7" s="174">
        <v>0</v>
      </c>
      <c r="Q7" s="179">
        <f t="shared" si="8"/>
        <v>1.1936007764160958E-05</v>
      </c>
      <c r="R7" s="179">
        <f t="shared" si="9"/>
        <v>0.010859781209835245</v>
      </c>
      <c r="S7" s="180">
        <f t="shared" si="10"/>
        <v>0.0010991020475947545</v>
      </c>
      <c r="T7" s="179">
        <f t="shared" si="11"/>
        <v>0.9891402187901647</v>
      </c>
      <c r="U7" s="181">
        <f t="shared" si="12"/>
        <v>0.0011936007764160959</v>
      </c>
      <c r="X7" s="177">
        <v>2</v>
      </c>
      <c r="Y7" s="175">
        <v>0.02</v>
      </c>
      <c r="Z7" s="172">
        <f t="shared" si="20"/>
        <v>0.03</v>
      </c>
    </row>
    <row r="8" spans="1:26" ht="12.75">
      <c r="A8" s="91">
        <f t="shared" si="19"/>
        <v>1980.4999999999995</v>
      </c>
      <c r="B8" s="171">
        <f t="shared" si="13"/>
        <v>75.34182353404483</v>
      </c>
      <c r="C8" s="171">
        <f t="shared" si="14"/>
        <v>0.8262413588068641</v>
      </c>
      <c r="D8" s="172">
        <f t="shared" si="15"/>
        <v>0.0009373404178946856</v>
      </c>
      <c r="E8" s="171">
        <f t="shared" si="16"/>
        <v>76.1690022332696</v>
      </c>
      <c r="F8" s="92">
        <f t="shared" si="0"/>
        <v>0.9891402187901648</v>
      </c>
      <c r="G8" s="171">
        <f t="shared" si="1"/>
        <v>0.22755870262200462</v>
      </c>
      <c r="H8" s="171">
        <f t="shared" si="2"/>
        <v>0.22755742566178194</v>
      </c>
      <c r="I8" s="91">
        <f t="shared" si="3"/>
        <v>0.10329874022561279</v>
      </c>
      <c r="J8" s="91">
        <f t="shared" si="4"/>
        <v>29.745695056150083</v>
      </c>
      <c r="K8" s="182">
        <f t="shared" si="17"/>
        <v>0.010859781209823338</v>
      </c>
      <c r="L8" s="177">
        <f t="shared" si="5"/>
        <v>0</v>
      </c>
      <c r="M8" s="178">
        <f>MIN(1,J8*D8/E8)</f>
        <v>0.00036605234960424867</v>
      </c>
      <c r="N8" s="403">
        <f t="shared" si="7"/>
        <v>0</v>
      </c>
      <c r="O8" s="177">
        <f t="shared" si="18"/>
        <v>2.9419590415347344E-05</v>
      </c>
      <c r="P8" s="174">
        <v>0</v>
      </c>
      <c r="Q8" s="179">
        <f t="shared" si="8"/>
        <v>1.2306061395212394E-05</v>
      </c>
      <c r="R8" s="179">
        <f t="shared" si="9"/>
        <v>0.01085978120983523</v>
      </c>
      <c r="S8" s="180">
        <f t="shared" si="10"/>
        <v>0.001133177654082693</v>
      </c>
      <c r="T8" s="179">
        <f t="shared" si="11"/>
        <v>0.9891402187901648</v>
      </c>
      <c r="U8" s="181">
        <f t="shared" si="12"/>
        <v>0.0012306061395212394</v>
      </c>
      <c r="X8" s="177">
        <v>3</v>
      </c>
      <c r="Y8" s="175">
        <v>0.03</v>
      </c>
      <c r="Z8" s="172">
        <f t="shared" si="20"/>
        <v>0.06</v>
      </c>
    </row>
    <row r="9" spans="1:26" ht="12.75">
      <c r="A9" s="91">
        <f t="shared" si="19"/>
        <v>1980.5999999999995</v>
      </c>
      <c r="B9" s="171">
        <f t="shared" si="13"/>
        <v>75.12886930453118</v>
      </c>
      <c r="C9" s="171">
        <f t="shared" si="14"/>
        <v>0.8238770093868594</v>
      </c>
      <c r="D9" s="172">
        <f t="shared" si="15"/>
        <v>0.0009636630381644119</v>
      </c>
      <c r="E9" s="171">
        <f t="shared" si="16"/>
        <v>75.9537099769562</v>
      </c>
      <c r="F9" s="92">
        <f t="shared" si="0"/>
        <v>0.9891402187901648</v>
      </c>
      <c r="G9" s="171">
        <f t="shared" si="1"/>
        <v>0.22691550624165557</v>
      </c>
      <c r="H9" s="171">
        <f t="shared" si="2"/>
        <v>0.22691419342152713</v>
      </c>
      <c r="I9" s="91">
        <f t="shared" si="3"/>
        <v>0.10342375504550569</v>
      </c>
      <c r="J9" s="91">
        <f t="shared" si="4"/>
        <v>29.745695056150083</v>
      </c>
      <c r="K9" s="182">
        <f t="shared" si="17"/>
        <v>0.010859781209835264</v>
      </c>
      <c r="L9" s="177">
        <f t="shared" si="5"/>
        <v>0</v>
      </c>
      <c r="M9" s="178">
        <f t="shared" si="6"/>
        <v>0.0003773986402878597</v>
      </c>
      <c r="N9" s="403">
        <f t="shared" si="7"/>
        <v>0</v>
      </c>
      <c r="O9" s="177">
        <f t="shared" si="18"/>
        <v>3.024475907314597E-05</v>
      </c>
      <c r="P9" s="174">
        <v>0</v>
      </c>
      <c r="Q9" s="179">
        <f t="shared" si="8"/>
        <v>1.268750451369367E-05</v>
      </c>
      <c r="R9" s="179">
        <f t="shared" si="9"/>
        <v>0.010859781209835231</v>
      </c>
      <c r="S9" s="180">
        <f t="shared" si="10"/>
        <v>0.0011683020374483374</v>
      </c>
      <c r="T9" s="179">
        <f t="shared" si="11"/>
        <v>0.9891402187901648</v>
      </c>
      <c r="U9" s="181">
        <f t="shared" si="12"/>
        <v>0.0012687504513693671</v>
      </c>
      <c r="X9" s="177">
        <v>4</v>
      </c>
      <c r="Y9" s="175">
        <v>0.04</v>
      </c>
      <c r="Z9" s="172">
        <f t="shared" si="20"/>
        <v>0.1</v>
      </c>
    </row>
    <row r="10" spans="1:26" ht="12.75">
      <c r="A10" s="91">
        <f t="shared" si="19"/>
        <v>1980.6999999999994</v>
      </c>
      <c r="B10" s="171">
        <f t="shared" si="13"/>
        <v>74.91692995198581</v>
      </c>
      <c r="C10" s="171">
        <f t="shared" si="14"/>
        <v>0.8215230642073293</v>
      </c>
      <c r="D10" s="172">
        <f t="shared" si="15"/>
        <v>0.0009907237632214214</v>
      </c>
      <c r="E10" s="171">
        <f t="shared" si="16"/>
        <v>75.73944373995636</v>
      </c>
      <c r="F10" s="92">
        <f t="shared" si="0"/>
        <v>0.9891402187901648</v>
      </c>
      <c r="G10" s="171">
        <f t="shared" si="1"/>
        <v>0.22627537514530666</v>
      </c>
      <c r="H10" s="171">
        <f t="shared" si="2"/>
        <v>0.2262740254597355</v>
      </c>
      <c r="I10" s="91">
        <f t="shared" si="3"/>
        <v>0.10354892116158243</v>
      </c>
      <c r="J10" s="91">
        <f t="shared" si="4"/>
        <v>29.745695056150083</v>
      </c>
      <c r="K10" s="182">
        <f t="shared" si="17"/>
        <v>0.010859781209835264</v>
      </c>
      <c r="L10" s="177">
        <f t="shared" si="5"/>
        <v>0</v>
      </c>
      <c r="M10" s="178">
        <f t="shared" si="6"/>
        <v>0.00038909405047714995</v>
      </c>
      <c r="N10" s="403">
        <f t="shared" si="7"/>
        <v>0</v>
      </c>
      <c r="O10" s="177">
        <f t="shared" si="18"/>
        <v>3.10930063107029E-05</v>
      </c>
      <c r="P10" s="174">
        <v>0</v>
      </c>
      <c r="Q10" s="179">
        <f t="shared" si="8"/>
        <v>1.3080684439972523E-05</v>
      </c>
      <c r="R10" s="179">
        <f t="shared" si="9"/>
        <v>0.010859781209835231</v>
      </c>
      <c r="S10" s="180">
        <f t="shared" si="10"/>
        <v>0.001204507179953673</v>
      </c>
      <c r="T10" s="179">
        <f t="shared" si="11"/>
        <v>0.9891402187901648</v>
      </c>
      <c r="U10" s="181">
        <f t="shared" si="12"/>
        <v>0.0013080684439972523</v>
      </c>
      <c r="X10" s="177">
        <v>5</v>
      </c>
      <c r="Y10" s="175">
        <v>0.05</v>
      </c>
      <c r="Z10" s="172">
        <f t="shared" si="20"/>
        <v>0.15000000000000002</v>
      </c>
    </row>
    <row r="11" spans="1:26" ht="12.75">
      <c r="A11" s="91">
        <f t="shared" si="19"/>
        <v>1980.7999999999993</v>
      </c>
      <c r="B11" s="171">
        <f t="shared" si="13"/>
        <v>74.70600137966586</v>
      </c>
      <c r="C11" s="171">
        <f t="shared" si="14"/>
        <v>0.8191794576584487</v>
      </c>
      <c r="D11" s="172">
        <f t="shared" si="15"/>
        <v>0.001018543224706959</v>
      </c>
      <c r="E11" s="171">
        <f t="shared" si="16"/>
        <v>75.52619938054902</v>
      </c>
      <c r="F11" s="92">
        <f t="shared" si="0"/>
        <v>0.9891402187901648</v>
      </c>
      <c r="G11" s="171">
        <f t="shared" si="1"/>
        <v>0.22563829695935925</v>
      </c>
      <c r="H11" s="171">
        <f t="shared" si="2"/>
        <v>0.22563690937470146</v>
      </c>
      <c r="I11" s="91">
        <f t="shared" si="3"/>
        <v>0.1036742387569456</v>
      </c>
      <c r="J11" s="91">
        <f t="shared" si="4"/>
        <v>29.745695056150083</v>
      </c>
      <c r="K11" s="182">
        <f t="shared" si="17"/>
        <v>0.010859781209835264</v>
      </c>
      <c r="L11" s="177">
        <f t="shared" si="5"/>
        <v>0</v>
      </c>
      <c r="M11" s="178">
        <f t="shared" si="6"/>
        <v>0.00040114922254970106</v>
      </c>
      <c r="N11" s="403">
        <f t="shared" si="7"/>
        <v>0</v>
      </c>
      <c r="O11" s="177">
        <f t="shared" si="18"/>
        <v>3.1964973661282955E-05</v>
      </c>
      <c r="P11" s="174">
        <v>0</v>
      </c>
      <c r="Q11" s="179">
        <f t="shared" si="8"/>
        <v>1.3485958952798493E-05</v>
      </c>
      <c r="R11" s="179">
        <f t="shared" si="9"/>
        <v>0.010859781209835233</v>
      </c>
      <c r="S11" s="180">
        <f t="shared" si="10"/>
        <v>0.0012418260268986674</v>
      </c>
      <c r="T11" s="179">
        <f t="shared" si="11"/>
        <v>0.9891402187901648</v>
      </c>
      <c r="U11" s="181">
        <f t="shared" si="12"/>
        <v>0.0013485958952798493</v>
      </c>
      <c r="X11" s="177">
        <v>6</v>
      </c>
      <c r="Y11" s="175">
        <v>0.06</v>
      </c>
      <c r="Z11" s="172">
        <f t="shared" si="20"/>
        <v>0.21000000000000002</v>
      </c>
    </row>
    <row r="12" spans="1:26" ht="12.75">
      <c r="A12" s="91">
        <f t="shared" si="19"/>
        <v>1980.8999999999992</v>
      </c>
      <c r="B12" s="171">
        <f t="shared" si="13"/>
        <v>74.49607950815198</v>
      </c>
      <c r="C12" s="171">
        <f t="shared" si="14"/>
        <v>0.816846123747784</v>
      </c>
      <c r="D12" s="172">
        <f t="shared" si="15"/>
        <v>0.0010471426270646875</v>
      </c>
      <c r="E12" s="171">
        <f t="shared" si="16"/>
        <v>75.31397277452682</v>
      </c>
      <c r="F12" s="92">
        <f t="shared" si="0"/>
        <v>0.9891402187901649</v>
      </c>
      <c r="G12" s="171">
        <f t="shared" si="1"/>
        <v>0.22500425936253762</v>
      </c>
      <c r="H12" s="171">
        <f t="shared" si="2"/>
        <v>0.22500283281626193</v>
      </c>
      <c r="I12" s="91">
        <f t="shared" si="3"/>
        <v>0.10379970801491938</v>
      </c>
      <c r="J12" s="91">
        <f t="shared" si="4"/>
        <v>29.745695056150083</v>
      </c>
      <c r="K12" s="182">
        <f t="shared" si="17"/>
        <v>0.010859781209835264</v>
      </c>
      <c r="L12" s="177">
        <f t="shared" si="5"/>
        <v>0</v>
      </c>
      <c r="M12" s="178">
        <f t="shared" si="6"/>
        <v>0.00041357511916430414</v>
      </c>
      <c r="N12" s="403">
        <f t="shared" si="7"/>
        <v>0</v>
      </c>
      <c r="O12" s="177">
        <f t="shared" si="18"/>
        <v>3.286132025683725E-05</v>
      </c>
      <c r="P12" s="174">
        <v>0</v>
      </c>
      <c r="Q12" s="179">
        <f t="shared" si="8"/>
        <v>1.3903696598234145E-05</v>
      </c>
      <c r="R12" s="179">
        <f t="shared" si="9"/>
        <v>0.010859781209835233</v>
      </c>
      <c r="S12" s="180">
        <f t="shared" si="10"/>
        <v>0.0012802925150685511</v>
      </c>
      <c r="T12" s="179">
        <f t="shared" si="11"/>
        <v>0.9891402187901649</v>
      </c>
      <c r="U12" s="181">
        <f t="shared" si="12"/>
        <v>0.0013903696598234145</v>
      </c>
      <c r="X12" s="177">
        <v>7</v>
      </c>
      <c r="Y12" s="175">
        <v>0.07</v>
      </c>
      <c r="Z12" s="172">
        <f t="shared" si="20"/>
        <v>0.28</v>
      </c>
    </row>
    <row r="13" spans="1:26" ht="12.75">
      <c r="A13" s="91">
        <f t="shared" si="19"/>
        <v>1980.999999999999</v>
      </c>
      <c r="B13" s="171">
        <f t="shared" si="13"/>
        <v>74.28716027527594</v>
      </c>
      <c r="C13" s="171">
        <f t="shared" si="14"/>
        <v>0.8145229960838309</v>
      </c>
      <c r="D13" s="172">
        <f t="shared" si="15"/>
        <v>0.0010765437632113675</v>
      </c>
      <c r="E13" s="171">
        <f t="shared" si="16"/>
        <v>75.10275981512298</v>
      </c>
      <c r="F13" s="92">
        <f t="shared" si="0"/>
        <v>0.9891402187901648</v>
      </c>
      <c r="G13" s="171">
        <f t="shared" si="1"/>
        <v>0.2243732500856707</v>
      </c>
      <c r="H13" s="171">
        <f t="shared" si="2"/>
        <v>0.2243717834855569</v>
      </c>
      <c r="I13" s="91">
        <f t="shared" si="3"/>
        <v>0.10392532911904977</v>
      </c>
      <c r="J13" s="91">
        <f t="shared" si="4"/>
        <v>29.745695056150083</v>
      </c>
      <c r="K13" s="182">
        <f t="shared" si="17"/>
        <v>0.01085978120984719</v>
      </c>
      <c r="L13" s="177">
        <f t="shared" si="5"/>
        <v>0</v>
      </c>
      <c r="M13" s="178">
        <f t="shared" si="6"/>
        <v>0.0004263830327129656</v>
      </c>
      <c r="N13" s="403">
        <f t="shared" si="7"/>
        <v>0</v>
      </c>
      <c r="O13" s="177">
        <f t="shared" si="18"/>
        <v>3.378272329678897E-05</v>
      </c>
      <c r="P13" s="174">
        <v>0</v>
      </c>
      <c r="Q13" s="179">
        <f t="shared" si="8"/>
        <v>1.4334277007415519E-05</v>
      </c>
      <c r="R13" s="179">
        <f t="shared" si="9"/>
        <v>0.010859781209835247</v>
      </c>
      <c r="S13" s="180">
        <f t="shared" si="10"/>
        <v>0.0013199416019941143</v>
      </c>
      <c r="T13" s="179">
        <f t="shared" si="11"/>
        <v>0.9891402187901648</v>
      </c>
      <c r="U13" s="181">
        <f t="shared" si="12"/>
        <v>0.001433427700741552</v>
      </c>
      <c r="V13">
        <f>IF(ISNUMBER('Set-up'!$N$8)=FALSE,"",('Set-up'!$N$8-'EPP model'!U13)^2)</f>
      </c>
      <c r="W13" t="e">
        <f>IF(ISNUMBER('Set-up'!$N$8)=FALSE,NA()=FALSE,('Set-up'!$N$8))</f>
        <v>#N/A</v>
      </c>
      <c r="X13" s="177">
        <v>8</v>
      </c>
      <c r="Y13" s="175">
        <v>0.08</v>
      </c>
      <c r="Z13" s="172">
        <f t="shared" si="20"/>
        <v>0.36000000000000004</v>
      </c>
    </row>
    <row r="14" spans="1:26" ht="12.75">
      <c r="A14" s="91">
        <f t="shared" si="19"/>
        <v>1981.099999999999</v>
      </c>
      <c r="B14" s="171">
        <f t="shared" si="13"/>
        <v>74.07923963604875</v>
      </c>
      <c r="C14" s="171">
        <f t="shared" si="14"/>
        <v>0.8122100078591336</v>
      </c>
      <c r="D14" s="172">
        <f t="shared" si="15"/>
        <v>0.0011067690306223988</v>
      </c>
      <c r="E14" s="171">
        <f t="shared" si="16"/>
        <v>74.89255641293852</v>
      </c>
      <c r="F14" s="92">
        <f t="shared" si="0"/>
        <v>0.9891402187901647</v>
      </c>
      <c r="G14" s="171">
        <f t="shared" si="1"/>
        <v>0.2237452569114745</v>
      </c>
      <c r="H14" s="171">
        <f t="shared" si="2"/>
        <v>0.22374374913478975</v>
      </c>
      <c r="I14" s="91">
        <f t="shared" si="3"/>
        <v>0.10405110225310495</v>
      </c>
      <c r="J14" s="91">
        <f t="shared" si="4"/>
        <v>29.745695056150083</v>
      </c>
      <c r="K14" s="182">
        <f t="shared" si="17"/>
        <v>0.010859781209835264</v>
      </c>
      <c r="L14" s="177">
        <f t="shared" si="5"/>
        <v>0</v>
      </c>
      <c r="M14" s="178">
        <f t="shared" si="6"/>
        <v>0.000439584595042574</v>
      </c>
      <c r="N14" s="403">
        <f t="shared" si="7"/>
        <v>0</v>
      </c>
      <c r="O14" s="177">
        <f t="shared" si="18"/>
        <v>3.472987852846749E-05</v>
      </c>
      <c r="P14" s="174">
        <f aca="true" t="shared" si="21" ref="P14:P23">O3*$Y$6</f>
        <v>0</v>
      </c>
      <c r="Q14" s="179">
        <f t="shared" si="8"/>
        <v>1.4778091223378138E-05</v>
      </c>
      <c r="R14" s="179">
        <f t="shared" si="9"/>
        <v>0.010859781209835247</v>
      </c>
      <c r="S14" s="180">
        <f t="shared" si="10"/>
        <v>0.0013608092960467973</v>
      </c>
      <c r="T14" s="179">
        <f t="shared" si="11"/>
        <v>0.9891402187901647</v>
      </c>
      <c r="U14" s="181">
        <f t="shared" si="12"/>
        <v>0.0014778091223378138</v>
      </c>
      <c r="X14" s="177">
        <v>9</v>
      </c>
      <c r="Y14" s="175">
        <v>0.09</v>
      </c>
      <c r="Z14" s="172">
        <f t="shared" si="20"/>
        <v>0.45000000000000007</v>
      </c>
    </row>
    <row r="15" spans="1:26" ht="12.75">
      <c r="A15" s="91">
        <f t="shared" si="19"/>
        <v>1981.199999999999</v>
      </c>
      <c r="B15" s="171">
        <f t="shared" si="13"/>
        <v>73.87231356258899</v>
      </c>
      <c r="C15" s="171">
        <f t="shared" si="14"/>
        <v>0.8099070918329931</v>
      </c>
      <c r="D15" s="172">
        <f t="shared" si="15"/>
        <v>0.0011378414478423761</v>
      </c>
      <c r="E15" s="171">
        <f t="shared" si="16"/>
        <v>74.68335849586983</v>
      </c>
      <c r="F15" s="92">
        <f t="shared" si="0"/>
        <v>0.9891402187901647</v>
      </c>
      <c r="G15" s="171">
        <f t="shared" si="1"/>
        <v>0.22312026767433593</v>
      </c>
      <c r="H15" s="171">
        <f t="shared" si="2"/>
        <v>0.22311871756698876</v>
      </c>
      <c r="I15" s="91">
        <f t="shared" si="3"/>
        <v>0.10417702760107549</v>
      </c>
      <c r="J15" s="91">
        <f t="shared" si="4"/>
        <v>29.745695056150083</v>
      </c>
      <c r="K15" s="182">
        <f t="shared" si="17"/>
        <v>0.010859781209823338</v>
      </c>
      <c r="L15" s="177">
        <f t="shared" si="5"/>
        <v>0.08390375560530824</v>
      </c>
      <c r="M15" s="178">
        <f t="shared" si="6"/>
        <v>0.0004531917874534175</v>
      </c>
      <c r="N15" s="403">
        <f t="shared" si="7"/>
        <v>0</v>
      </c>
      <c r="O15" s="177">
        <f t="shared" si="18"/>
        <v>3.570350073942831E-05</v>
      </c>
      <c r="P15" s="174">
        <f t="shared" si="21"/>
        <v>8.390375560530824E-06</v>
      </c>
      <c r="Q15" s="179">
        <f t="shared" si="8"/>
        <v>1.5235542037190274E-05</v>
      </c>
      <c r="R15" s="179">
        <f t="shared" si="9"/>
        <v>0.010859781209835231</v>
      </c>
      <c r="S15" s="180">
        <f t="shared" si="10"/>
        <v>0.0014029326873908018</v>
      </c>
      <c r="T15" s="179">
        <f t="shared" si="11"/>
        <v>0.9891402187901647</v>
      </c>
      <c r="U15" s="181">
        <f t="shared" si="12"/>
        <v>0.0015235542037190274</v>
      </c>
      <c r="X15" s="177">
        <v>10</v>
      </c>
      <c r="Y15" s="175">
        <v>0.1</v>
      </c>
      <c r="Z15" s="172">
        <f t="shared" si="20"/>
        <v>0.55</v>
      </c>
    </row>
    <row r="16" spans="1:26" ht="12.75">
      <c r="A16" s="91">
        <f t="shared" si="19"/>
        <v>1981.2999999999988</v>
      </c>
      <c r="B16" s="171">
        <f t="shared" si="13"/>
        <v>73.66637804405137</v>
      </c>
      <c r="C16" s="171">
        <f t="shared" si="14"/>
        <v>0.8076141803137373</v>
      </c>
      <c r="D16" s="172">
        <f t="shared" si="15"/>
        <v>0.0011613942958704744</v>
      </c>
      <c r="E16" s="171">
        <f t="shared" si="16"/>
        <v>74.47515361866098</v>
      </c>
      <c r="F16" s="92">
        <f t="shared" si="0"/>
        <v>0.989140330226765</v>
      </c>
      <c r="G16" s="171">
        <f t="shared" si="1"/>
        <v>0.22249824519343064</v>
      </c>
      <c r="H16" s="171">
        <f t="shared" si="2"/>
        <v>0.22249666299950155</v>
      </c>
      <c r="I16" s="91">
        <f t="shared" si="3"/>
        <v>0.10430310534717463</v>
      </c>
      <c r="J16" s="91">
        <f t="shared" si="4"/>
        <v>29.745695056150083</v>
      </c>
      <c r="K16" s="182">
        <f t="shared" si="17"/>
        <v>0.010859781209823338</v>
      </c>
      <c r="L16" s="177">
        <f t="shared" si="5"/>
        <v>0.0027076395041299895</v>
      </c>
      <c r="M16" s="178">
        <f t="shared" si="6"/>
        <v>0.00046386585171486085</v>
      </c>
      <c r="N16" s="403">
        <f t="shared" si="7"/>
        <v>0</v>
      </c>
      <c r="O16" s="177">
        <f t="shared" si="18"/>
        <v>3.6704324261899334E-05</v>
      </c>
      <c r="P16" s="174">
        <f t="shared" si="21"/>
        <v>2.707639504129989E-07</v>
      </c>
      <c r="Q16" s="179">
        <f t="shared" si="8"/>
        <v>1.559438603936586E-05</v>
      </c>
      <c r="R16" s="179">
        <f t="shared" si="9"/>
        <v>0.010859669773235025</v>
      </c>
      <c r="S16" s="180">
        <f t="shared" si="10"/>
        <v>0.001435990814177436</v>
      </c>
      <c r="T16" s="179">
        <f t="shared" si="11"/>
        <v>0.989140330226765</v>
      </c>
      <c r="U16" s="181">
        <f t="shared" si="12"/>
        <v>0.0015594386039365859</v>
      </c>
      <c r="X16" s="177">
        <v>11</v>
      </c>
      <c r="Y16" s="175">
        <v>0.1</v>
      </c>
      <c r="Z16" s="172">
        <f t="shared" si="20"/>
        <v>0.65</v>
      </c>
    </row>
    <row r="17" spans="1:26" ht="12.75">
      <c r="A17" s="91">
        <f t="shared" si="19"/>
        <v>1981.3999999999987</v>
      </c>
      <c r="B17" s="171">
        <f t="shared" si="13"/>
        <v>73.46142783581861</v>
      </c>
      <c r="C17" s="171">
        <f t="shared" si="14"/>
        <v>0.8053327265172294</v>
      </c>
      <c r="D17" s="172">
        <f t="shared" si="15"/>
        <v>0.0011937263423900696</v>
      </c>
      <c r="E17" s="171">
        <f t="shared" si="16"/>
        <v>74.26795428867824</v>
      </c>
      <c r="F17" s="172">
        <f t="shared" si="0"/>
        <v>0.9891403168353786</v>
      </c>
      <c r="G17" s="171">
        <f t="shared" si="1"/>
        <v>0.22187922683514072</v>
      </c>
      <c r="H17" s="171">
        <f t="shared" si="2"/>
        <v>0.22187760059452752</v>
      </c>
      <c r="I17" s="91">
        <f t="shared" si="3"/>
        <v>0.10442933567583854</v>
      </c>
      <c r="J17" s="91">
        <f t="shared" si="4"/>
        <v>29.745695056150083</v>
      </c>
      <c r="K17" s="182">
        <f t="shared" si="17"/>
        <v>0.010871758085347053</v>
      </c>
      <c r="L17" s="177">
        <f t="shared" si="5"/>
        <v>0.0027836007966329335</v>
      </c>
      <c r="M17" s="178">
        <f t="shared" si="6"/>
        <v>0.0004781095709625794</v>
      </c>
      <c r="N17" s="403">
        <f t="shared" si="7"/>
        <v>0</v>
      </c>
      <c r="O17" s="177">
        <f t="shared" si="18"/>
        <v>3.74624639608231E-05</v>
      </c>
      <c r="P17" s="174">
        <f t="shared" si="21"/>
        <v>2.783600796632933E-07</v>
      </c>
      <c r="Q17" s="179">
        <f t="shared" si="8"/>
        <v>1.6073235809755528E-05</v>
      </c>
      <c r="R17" s="179">
        <f t="shared" si="9"/>
        <v>0.010859683164621249</v>
      </c>
      <c r="S17" s="180">
        <f t="shared" si="10"/>
        <v>0.0014800833105443653</v>
      </c>
      <c r="T17" s="179">
        <f t="shared" si="11"/>
        <v>0.9891403168353786</v>
      </c>
      <c r="U17" s="181">
        <f t="shared" si="12"/>
        <v>0.0016073235809755527</v>
      </c>
      <c r="X17" s="177">
        <v>12</v>
      </c>
      <c r="Y17" s="175">
        <v>0.1</v>
      </c>
      <c r="Z17" s="172">
        <f t="shared" si="20"/>
        <v>0.75</v>
      </c>
    </row>
    <row r="18" spans="1:26" ht="12.75">
      <c r="A18" s="91">
        <f t="shared" si="19"/>
        <v>1981.4999999999986</v>
      </c>
      <c r="B18" s="171">
        <f t="shared" si="13"/>
        <v>73.25746036591762</v>
      </c>
      <c r="C18" s="171">
        <f t="shared" si="14"/>
        <v>0.8030610012556514</v>
      </c>
      <c r="D18" s="172">
        <f t="shared" si="15"/>
        <v>0.001226956769400632</v>
      </c>
      <c r="E18" s="171">
        <f t="shared" si="16"/>
        <v>74.06174832394268</v>
      </c>
      <c r="F18" s="172">
        <f t="shared" si="0"/>
        <v>0.989140305539276</v>
      </c>
      <c r="G18" s="171">
        <f t="shared" si="1"/>
        <v>0.22126317620519498</v>
      </c>
      <c r="H18" s="171">
        <f t="shared" si="2"/>
        <v>0.22126150469401346</v>
      </c>
      <c r="I18" s="91">
        <f t="shared" si="3"/>
        <v>0.10455571877172659</v>
      </c>
      <c r="J18" s="91">
        <f t="shared" si="4"/>
        <v>29.745695056150083</v>
      </c>
      <c r="K18" s="176">
        <f t="shared" si="17"/>
        <v>0.010870318128507141</v>
      </c>
      <c r="L18" s="177">
        <f t="shared" si="5"/>
        <v>0.002861687594535421</v>
      </c>
      <c r="M18" s="178">
        <f t="shared" si="6"/>
        <v>0.0004927872044018654</v>
      </c>
      <c r="N18" s="403">
        <f t="shared" si="7"/>
        <v>0</v>
      </c>
      <c r="O18" s="177">
        <f t="shared" si="18"/>
        <v>3.8503728435727685E-05</v>
      </c>
      <c r="P18" s="174">
        <f t="shared" si="21"/>
        <v>2.8616875945354207E-07</v>
      </c>
      <c r="Q18" s="179">
        <f t="shared" si="8"/>
        <v>1.6566673041986256E-05</v>
      </c>
      <c r="R18" s="179">
        <f t="shared" si="9"/>
        <v>0.010859694460723955</v>
      </c>
      <c r="S18" s="180">
        <f t="shared" si="10"/>
        <v>0.001525519258566861</v>
      </c>
      <c r="T18" s="179">
        <f t="shared" si="11"/>
        <v>0.989140305539276</v>
      </c>
      <c r="U18" s="181">
        <f t="shared" si="12"/>
        <v>0.0016566673041986256</v>
      </c>
      <c r="X18" s="177">
        <v>13</v>
      </c>
      <c r="Y18" s="175">
        <v>0.08</v>
      </c>
      <c r="Z18" s="172">
        <f t="shared" si="20"/>
        <v>0.83</v>
      </c>
    </row>
    <row r="19" spans="1:26" ht="12.75">
      <c r="A19" s="91">
        <f t="shared" si="19"/>
        <v>1981.5999999999985</v>
      </c>
      <c r="B19" s="171">
        <f t="shared" si="13"/>
        <v>73.05447165030297</v>
      </c>
      <c r="C19" s="171">
        <f t="shared" si="14"/>
        <v>0.8007989598949793</v>
      </c>
      <c r="D19" s="172">
        <f t="shared" si="15"/>
        <v>0.0012611104309005528</v>
      </c>
      <c r="E19" s="171">
        <f t="shared" si="16"/>
        <v>73.85653172062885</v>
      </c>
      <c r="F19" s="172">
        <f t="shared" si="0"/>
        <v>0.9891402960355657</v>
      </c>
      <c r="G19" s="171">
        <f t="shared" si="1"/>
        <v>0.22065008134196473</v>
      </c>
      <c r="H19" s="171">
        <f t="shared" si="2"/>
        <v>0.2206483633024714</v>
      </c>
      <c r="I19" s="91">
        <f t="shared" si="3"/>
        <v>0.10468225481972167</v>
      </c>
      <c r="J19" s="91">
        <f t="shared" si="4"/>
        <v>29.745695056150083</v>
      </c>
      <c r="K19" s="176">
        <f t="shared" si="17"/>
        <v>0.010869103621229326</v>
      </c>
      <c r="L19" s="177">
        <f t="shared" si="5"/>
        <v>0.0029419590415347345</v>
      </c>
      <c r="M19" s="178">
        <f t="shared" si="6"/>
        <v>0.0005079118317062841</v>
      </c>
      <c r="N19" s="403">
        <f t="shared" si="7"/>
        <v>0</v>
      </c>
      <c r="O19" s="177">
        <f t="shared" si="18"/>
        <v>3.9573818577293536E-05</v>
      </c>
      <c r="P19" s="174">
        <f t="shared" si="21"/>
        <v>2.9419590415347347E-07</v>
      </c>
      <c r="Q19" s="179">
        <f t="shared" si="8"/>
        <v>1.7075137452579732E-05</v>
      </c>
      <c r="R19" s="179">
        <f t="shared" si="9"/>
        <v>0.010859703964434288</v>
      </c>
      <c r="S19" s="180">
        <f t="shared" si="10"/>
        <v>0.001572339127153106</v>
      </c>
      <c r="T19" s="179">
        <f t="shared" si="11"/>
        <v>0.9891402960355657</v>
      </c>
      <c r="U19" s="181">
        <f t="shared" si="12"/>
        <v>0.0017075137452579733</v>
      </c>
      <c r="X19" s="177">
        <v>14</v>
      </c>
      <c r="Y19" s="175">
        <v>0.06</v>
      </c>
      <c r="Z19" s="172">
        <f t="shared" si="20"/>
        <v>0.8899999999999999</v>
      </c>
    </row>
    <row r="20" spans="1:26" ht="12.75">
      <c r="A20" s="91">
        <f t="shared" si="19"/>
        <v>1981.6999999999985</v>
      </c>
      <c r="B20" s="171">
        <f t="shared" si="13"/>
        <v>72.85245772511834</v>
      </c>
      <c r="C20" s="171">
        <f t="shared" si="14"/>
        <v>0.7985465538622311</v>
      </c>
      <c r="D20" s="172">
        <f t="shared" si="15"/>
        <v>0.0012962128632459519</v>
      </c>
      <c r="E20" s="171">
        <f t="shared" si="16"/>
        <v>73.65230049184383</v>
      </c>
      <c r="F20" s="172">
        <f t="shared" si="0"/>
        <v>0.9891402880645382</v>
      </c>
      <c r="G20" s="171">
        <f t="shared" si="1"/>
        <v>0.22003993033440805</v>
      </c>
      <c r="H20" s="171">
        <f t="shared" si="2"/>
        <v>0.22003816447407076</v>
      </c>
      <c r="I20" s="91">
        <f t="shared" si="3"/>
        <v>0.10480894400493038</v>
      </c>
      <c r="J20" s="91">
        <f t="shared" si="4"/>
        <v>29.745695056150083</v>
      </c>
      <c r="K20" s="176">
        <f t="shared" si="17"/>
        <v>0.010868081928045226</v>
      </c>
      <c r="L20" s="177">
        <f t="shared" si="5"/>
        <v>0.003024475907314597</v>
      </c>
      <c r="M20" s="178">
        <f t="shared" si="6"/>
        <v>0.0005234969213520084</v>
      </c>
      <c r="N20" s="403">
        <f t="shared" si="7"/>
        <v>0</v>
      </c>
      <c r="O20" s="177">
        <f t="shared" si="18"/>
        <v>4.067352665487461E-05</v>
      </c>
      <c r="P20" s="174">
        <f t="shared" si="21"/>
        <v>3.024475907314597E-07</v>
      </c>
      <c r="Q20" s="179">
        <f t="shared" si="8"/>
        <v>1.759908182894427E-05</v>
      </c>
      <c r="R20" s="179">
        <f t="shared" si="9"/>
        <v>0.01085971193546155</v>
      </c>
      <c r="S20" s="180">
        <f t="shared" si="10"/>
        <v>0.001620584591334861</v>
      </c>
      <c r="T20" s="179">
        <f t="shared" si="11"/>
        <v>0.9891402880645382</v>
      </c>
      <c r="U20" s="181">
        <f t="shared" si="12"/>
        <v>0.0017599081828944272</v>
      </c>
      <c r="X20" s="177">
        <v>15</v>
      </c>
      <c r="Y20" s="175">
        <v>0.04</v>
      </c>
      <c r="Z20" s="172">
        <f t="shared" si="20"/>
        <v>0.9299999999999999</v>
      </c>
    </row>
    <row r="21" spans="1:26" ht="12.75">
      <c r="A21" s="91">
        <f t="shared" si="19"/>
        <v>1981.7999999999984</v>
      </c>
      <c r="B21" s="171">
        <f t="shared" si="13"/>
        <v>72.65141464613909</v>
      </c>
      <c r="C21" s="171">
        <f t="shared" si="14"/>
        <v>0.7963037311138291</v>
      </c>
      <c r="D21" s="172">
        <f t="shared" si="15"/>
        <v>0.0013322903034453588</v>
      </c>
      <c r="E21" s="171">
        <f t="shared" si="16"/>
        <v>73.44905066755636</v>
      </c>
      <c r="F21" s="172">
        <f t="shared" si="0"/>
        <v>0.9891402814036696</v>
      </c>
      <c r="G21" s="171">
        <f t="shared" si="1"/>
        <v>0.21943271132185804</v>
      </c>
      <c r="H21" s="171">
        <f t="shared" si="2"/>
        <v>0.2194308963124014</v>
      </c>
      <c r="I21" s="91">
        <f t="shared" si="3"/>
        <v>0.10493578651268336</v>
      </c>
      <c r="J21" s="91">
        <f t="shared" si="4"/>
        <v>29.745695056150083</v>
      </c>
      <c r="K21" s="176">
        <f t="shared" si="17"/>
        <v>0.010867225078648984</v>
      </c>
      <c r="L21" s="177">
        <f t="shared" si="5"/>
        <v>0.00310930063107029</v>
      </c>
      <c r="M21" s="178">
        <f t="shared" si="6"/>
        <v>0.0005395563418773562</v>
      </c>
      <c r="N21" s="403">
        <f t="shared" si="7"/>
        <v>0</v>
      </c>
      <c r="O21" s="177">
        <f t="shared" si="18"/>
        <v>4.1803666250313375E-05</v>
      </c>
      <c r="P21" s="174">
        <f t="shared" si="21"/>
        <v>3.10930063107029E-07</v>
      </c>
      <c r="Q21" s="179">
        <f t="shared" si="8"/>
        <v>1.813897240790143E-05</v>
      </c>
      <c r="R21" s="179">
        <f t="shared" si="9"/>
        <v>0.010859718596330385</v>
      </c>
      <c r="S21" s="180">
        <f t="shared" si="10"/>
        <v>0.0016702985668552018</v>
      </c>
      <c r="T21" s="179">
        <f t="shared" si="11"/>
        <v>0.9891402814036696</v>
      </c>
      <c r="U21" s="181">
        <f t="shared" si="12"/>
        <v>0.001813897240790143</v>
      </c>
      <c r="X21" s="177">
        <v>16</v>
      </c>
      <c r="Y21" s="175">
        <v>0.02</v>
      </c>
      <c r="Z21" s="172">
        <f t="shared" si="20"/>
        <v>0.95</v>
      </c>
    </row>
    <row r="22" spans="1:26" ht="12.75">
      <c r="A22" s="91">
        <f t="shared" si="19"/>
        <v>1981.8999999999983</v>
      </c>
      <c r="B22" s="171">
        <f t="shared" si="13"/>
        <v>72.4513384882826</v>
      </c>
      <c r="C22" s="171">
        <f t="shared" si="14"/>
        <v>0.794070436535933</v>
      </c>
      <c r="D22" s="172">
        <f t="shared" si="15"/>
        <v>0.0013693697079338579</v>
      </c>
      <c r="E22" s="171">
        <f t="shared" si="16"/>
        <v>73.24677829452646</v>
      </c>
      <c r="F22" s="172">
        <f t="shared" si="0"/>
        <v>0.989140275862436</v>
      </c>
      <c r="G22" s="171">
        <f t="shared" si="1"/>
        <v>0.21882841249381257</v>
      </c>
      <c r="H22" s="171">
        <f t="shared" si="2"/>
        <v>0.21882654697023785</v>
      </c>
      <c r="I22" s="91">
        <f t="shared" si="3"/>
        <v>0.10506278252853554</v>
      </c>
      <c r="J22" s="91">
        <f t="shared" si="4"/>
        <v>29.745695056150083</v>
      </c>
      <c r="K22" s="176">
        <f t="shared" si="17"/>
        <v>0.010866509116647062</v>
      </c>
      <c r="L22" s="177">
        <f t="shared" si="5"/>
        <v>0.003196497366128295</v>
      </c>
      <c r="M22" s="178">
        <f t="shared" si="6"/>
        <v>0.00055610437345848</v>
      </c>
      <c r="N22" s="403">
        <f t="shared" si="7"/>
        <v>0</v>
      </c>
      <c r="O22" s="177">
        <f t="shared" si="18"/>
        <v>4.2965072818306756E-05</v>
      </c>
      <c r="P22" s="174">
        <f t="shared" si="21"/>
        <v>3.1964973661282953E-07</v>
      </c>
      <c r="Q22" s="179">
        <f t="shared" si="8"/>
        <v>1.8695289264841114E-05</v>
      </c>
      <c r="R22" s="179">
        <f t="shared" si="9"/>
        <v>0.010859724137563986</v>
      </c>
      <c r="S22" s="180">
        <f t="shared" si="10"/>
        <v>0.0017215252457632663</v>
      </c>
      <c r="T22" s="179">
        <f t="shared" si="11"/>
        <v>0.989140275862436</v>
      </c>
      <c r="U22" s="181">
        <f t="shared" si="12"/>
        <v>0.0018695289264841115</v>
      </c>
      <c r="X22" s="177">
        <v>17</v>
      </c>
      <c r="Y22" s="175">
        <v>0.01</v>
      </c>
      <c r="Z22" s="172">
        <f t="shared" si="20"/>
        <v>0.96</v>
      </c>
    </row>
    <row r="23" spans="1:26" ht="12.75">
      <c r="A23" s="91">
        <f t="shared" si="19"/>
        <v>1981.9999999999982</v>
      </c>
      <c r="B23" s="171">
        <f t="shared" si="13"/>
        <v>72.2522253451774</v>
      </c>
      <c r="C23" s="171">
        <f t="shared" si="14"/>
        <v>0.7918466122858876</v>
      </c>
      <c r="D23" s="172">
        <f t="shared" si="15"/>
        <v>0.0014074787718369789</v>
      </c>
      <c r="E23" s="171">
        <f t="shared" si="16"/>
        <v>73.04547943623513</v>
      </c>
      <c r="F23" s="172">
        <f t="shared" si="0"/>
        <v>0.9891402712778385</v>
      </c>
      <c r="G23" s="171">
        <f t="shared" si="1"/>
        <v>0.21822702208972428</v>
      </c>
      <c r="H23" s="171">
        <f t="shared" si="2"/>
        <v>0.21822510464930286</v>
      </c>
      <c r="I23" s="91">
        <f t="shared" si="3"/>
        <v>0.1051899322382664</v>
      </c>
      <c r="J23" s="91">
        <f t="shared" si="4"/>
        <v>29.745695056150083</v>
      </c>
      <c r="K23" s="176">
        <f t="shared" si="17"/>
        <v>0.01086591353728249</v>
      </c>
      <c r="L23" s="177">
        <f t="shared" si="5"/>
        <v>0.003286132025683725</v>
      </c>
      <c r="M23" s="178">
        <f t="shared" si="6"/>
        <v>0.0005731557198089803</v>
      </c>
      <c r="N23" s="403">
        <f t="shared" si="7"/>
        <v>0</v>
      </c>
      <c r="O23" s="177">
        <f t="shared" si="18"/>
        <v>4.415860425917168E-05</v>
      </c>
      <c r="P23" s="174">
        <f t="shared" si="21"/>
        <v>3.286132025683725E-07</v>
      </c>
      <c r="Q23" s="179">
        <f t="shared" si="8"/>
        <v>1.926852671376651E-05</v>
      </c>
      <c r="R23" s="179">
        <f t="shared" si="9"/>
        <v>0.010859728722161292</v>
      </c>
      <c r="S23" s="180">
        <f t="shared" si="10"/>
        <v>0.001774310133037256</v>
      </c>
      <c r="T23" s="179">
        <f t="shared" si="11"/>
        <v>0.9891402712778385</v>
      </c>
      <c r="U23" s="181">
        <f t="shared" si="12"/>
        <v>0.001926852671376651</v>
      </c>
      <c r="V23">
        <f>IF(ISNUMBER('Set-up'!$N$9)=FALSE,"",('Set-up'!$N$9-'EPP model'!U23)^2)</f>
      </c>
      <c r="W23" t="e">
        <f>IF(ISNUMBER('Set-up'!$N$9)=FALSE,NA()=FALSE,('Set-up'!$N$9))</f>
        <v>#N/A</v>
      </c>
      <c r="X23" s="177">
        <v>18</v>
      </c>
      <c r="Y23" s="175">
        <v>0.01</v>
      </c>
      <c r="Z23" s="172">
        <f t="shared" si="20"/>
        <v>0.97</v>
      </c>
    </row>
    <row r="24" spans="1:26" ht="12.75">
      <c r="A24" s="91">
        <f t="shared" si="19"/>
        <v>1982.099999999998</v>
      </c>
      <c r="B24" s="171">
        <f t="shared" si="13"/>
        <v>72.05407132878291</v>
      </c>
      <c r="C24" s="171">
        <f t="shared" si="14"/>
        <v>0.7896321980827858</v>
      </c>
      <c r="D24" s="172">
        <f t="shared" si="15"/>
        <v>0.0014466459487348649</v>
      </c>
      <c r="E24" s="171">
        <f t="shared" si="16"/>
        <v>72.84515017281443</v>
      </c>
      <c r="F24" s="172">
        <f t="shared" si="0"/>
        <v>0.9891402675105371</v>
      </c>
      <c r="G24" s="171">
        <f t="shared" si="1"/>
        <v>0.21762852839879177</v>
      </c>
      <c r="H24" s="171">
        <f t="shared" si="2"/>
        <v>0.2176265576000323</v>
      </c>
      <c r="I24" s="91">
        <f t="shared" si="3"/>
        <v>0.10531723582788029</v>
      </c>
      <c r="J24" s="91">
        <f t="shared" si="4"/>
        <v>29.745695056150083</v>
      </c>
      <c r="K24" s="176">
        <f t="shared" si="17"/>
        <v>0.010865420802879996</v>
      </c>
      <c r="L24" s="177">
        <f t="shared" si="5"/>
        <v>0.003378272329678897</v>
      </c>
      <c r="M24" s="178">
        <f t="shared" si="6"/>
        <v>0.0005907255204113976</v>
      </c>
      <c r="N24" s="403">
        <f t="shared" si="7"/>
        <v>0</v>
      </c>
      <c r="O24" s="177">
        <f t="shared" si="18"/>
        <v>4.538514150430205E-05</v>
      </c>
      <c r="P24" s="174">
        <f>O13*$Y$6</f>
        <v>3.378272329678897E-07</v>
      </c>
      <c r="Q24" s="179">
        <f t="shared" si="8"/>
        <v>1.9859193718496147E-05</v>
      </c>
      <c r="R24" s="179">
        <f t="shared" si="9"/>
        <v>0.010859732489462953</v>
      </c>
      <c r="S24" s="180">
        <f t="shared" si="10"/>
        <v>0.001828700084257623</v>
      </c>
      <c r="T24" s="179">
        <f t="shared" si="11"/>
        <v>0.9891402675105371</v>
      </c>
      <c r="U24" s="181">
        <f t="shared" si="12"/>
        <v>0.0019859193718496145</v>
      </c>
      <c r="X24" s="177">
        <v>19</v>
      </c>
      <c r="Y24" s="175">
        <v>0.01</v>
      </c>
      <c r="Z24" s="172">
        <f t="shared" si="20"/>
        <v>0.98</v>
      </c>
    </row>
    <row r="25" spans="1:26" ht="12.75">
      <c r="A25" s="91">
        <f t="shared" si="19"/>
        <v>1982.199999999998</v>
      </c>
      <c r="B25" s="171">
        <f t="shared" si="13"/>
        <v>71.85687256905305</v>
      </c>
      <c r="C25" s="171">
        <f t="shared" si="14"/>
        <v>0.7874271314539915</v>
      </c>
      <c r="D25" s="172">
        <f t="shared" si="15"/>
        <v>0.0014869004709374889</v>
      </c>
      <c r="E25" s="171">
        <f t="shared" si="16"/>
        <v>72.64578660097798</v>
      </c>
      <c r="F25" s="172">
        <f t="shared" si="0"/>
        <v>0.9891402644415126</v>
      </c>
      <c r="G25" s="171">
        <f t="shared" si="1"/>
        <v>0.2170329197597518</v>
      </c>
      <c r="H25" s="171">
        <f t="shared" si="2"/>
        <v>0.2170308941213389</v>
      </c>
      <c r="I25" s="91">
        <f t="shared" si="3"/>
        <v>0.10544469348360662</v>
      </c>
      <c r="J25" s="91">
        <f t="shared" si="4"/>
        <v>29.745695056150083</v>
      </c>
      <c r="K25" s="176">
        <f t="shared" si="17"/>
        <v>0.010865015924760097</v>
      </c>
      <c r="L25" s="177">
        <f t="shared" si="5"/>
        <v>0.003472987852846749</v>
      </c>
      <c r="M25" s="178">
        <f t="shared" si="6"/>
        <v>0.00060882936308872</v>
      </c>
      <c r="N25" s="403">
        <f t="shared" si="7"/>
        <v>0</v>
      </c>
      <c r="O25" s="177">
        <f t="shared" si="18"/>
        <v>4.664558911460495E-05</v>
      </c>
      <c r="P25" s="174">
        <f aca="true" t="shared" si="22" ref="P25:P34">O14*$Y$6+O3*$Y$7</f>
        <v>3.472987852846749E-07</v>
      </c>
      <c r="Q25" s="179">
        <f t="shared" si="8"/>
        <v>2.0467814315296735E-05</v>
      </c>
      <c r="R25" s="179">
        <f t="shared" si="9"/>
        <v>0.010859735558487411</v>
      </c>
      <c r="S25" s="180">
        <f t="shared" si="10"/>
        <v>0.0018847433443533663</v>
      </c>
      <c r="T25" s="179">
        <f t="shared" si="11"/>
        <v>0.9891402644415126</v>
      </c>
      <c r="U25" s="181">
        <f t="shared" si="12"/>
        <v>0.0020467814315296737</v>
      </c>
      <c r="X25" s="177">
        <v>20</v>
      </c>
      <c r="Y25" s="175">
        <v>0</v>
      </c>
      <c r="Z25" s="172">
        <f t="shared" si="20"/>
        <v>0.98</v>
      </c>
    </row>
    <row r="26" spans="1:21" ht="12.75">
      <c r="A26" s="91">
        <f t="shared" si="19"/>
        <v>1982.299999999998</v>
      </c>
      <c r="B26" s="171">
        <f t="shared" si="13"/>
        <v>71.66062521363764</v>
      </c>
      <c r="C26" s="171">
        <f t="shared" si="14"/>
        <v>0.7852313479435505</v>
      </c>
      <c r="D26" s="172">
        <f t="shared" si="15"/>
        <v>0.0015282723702819175</v>
      </c>
      <c r="E26" s="171">
        <f t="shared" si="16"/>
        <v>72.44738483395147</v>
      </c>
      <c r="F26" s="172">
        <f t="shared" si="0"/>
        <v>0.9891402619691922</v>
      </c>
      <c r="G26" s="171">
        <f t="shared" si="1"/>
        <v>0.21644018456067174</v>
      </c>
      <c r="H26" s="171">
        <f t="shared" si="2"/>
        <v>0.21643810256037713</v>
      </c>
      <c r="I26" s="91">
        <f t="shared" si="3"/>
        <v>0.10557230539190021</v>
      </c>
      <c r="J26" s="91">
        <f t="shared" si="4"/>
        <v>29.745695056150083</v>
      </c>
      <c r="K26" s="176">
        <f t="shared" si="17"/>
        <v>0.01086468610265247</v>
      </c>
      <c r="L26" s="177">
        <f t="shared" si="5"/>
        <v>0.1713778612845593</v>
      </c>
      <c r="M26" s="178">
        <f t="shared" si="6"/>
        <v>0.00062748329692422</v>
      </c>
      <c r="N26" s="403">
        <f t="shared" si="7"/>
        <v>0</v>
      </c>
      <c r="O26" s="177">
        <f t="shared" si="18"/>
        <v>4.794087589219114E-05</v>
      </c>
      <c r="P26" s="174">
        <f t="shared" si="22"/>
        <v>1.713778612845593E-05</v>
      </c>
      <c r="Q26" s="179">
        <f t="shared" si="8"/>
        <v>2.109492804722626E-05</v>
      </c>
      <c r="R26" s="179">
        <f t="shared" si="9"/>
        <v>0.01085973803080782</v>
      </c>
      <c r="S26" s="180">
        <f t="shared" si="10"/>
        <v>0.0019424895874451478</v>
      </c>
      <c r="T26" s="179">
        <f t="shared" si="11"/>
        <v>0.9891402619691922</v>
      </c>
      <c r="U26" s="181">
        <f t="shared" si="12"/>
        <v>0.002109492804722626</v>
      </c>
    </row>
    <row r="27" spans="1:25" ht="12.75">
      <c r="A27" s="91">
        <f t="shared" si="19"/>
        <v>1982.3999999999978</v>
      </c>
      <c r="B27" s="171">
        <f t="shared" si="13"/>
        <v>71.46532542761649</v>
      </c>
      <c r="C27" s="171">
        <f t="shared" si="14"/>
        <v>0.7830447812876803</v>
      </c>
      <c r="D27" s="172">
        <f t="shared" si="15"/>
        <v>0.001554011748341781</v>
      </c>
      <c r="E27" s="171">
        <f t="shared" si="16"/>
        <v>72.24992422065252</v>
      </c>
      <c r="F27" s="172">
        <f t="shared" si="0"/>
        <v>0.9891404897444619</v>
      </c>
      <c r="G27" s="171">
        <f t="shared" si="1"/>
        <v>0.21585026110541047</v>
      </c>
      <c r="H27" s="171">
        <f t="shared" si="2"/>
        <v>0.2158481440397742</v>
      </c>
      <c r="I27" s="91">
        <f t="shared" si="3"/>
        <v>0.10570007173944153</v>
      </c>
      <c r="J27" s="91">
        <f t="shared" si="4"/>
        <v>29.745695056150083</v>
      </c>
      <c r="K27" s="176">
        <f t="shared" si="17"/>
        <v>0.01086442041438179</v>
      </c>
      <c r="L27" s="177">
        <f t="shared" si="5"/>
        <v>0.009085711434449912</v>
      </c>
      <c r="M27" s="178">
        <f t="shared" si="6"/>
        <v>0.0006397952673095798</v>
      </c>
      <c r="N27" s="403">
        <f t="shared" si="7"/>
        <v>0</v>
      </c>
      <c r="O27" s="177">
        <f t="shared" si="18"/>
        <v>4.9271955505586847E-05</v>
      </c>
      <c r="P27" s="174">
        <f t="shared" si="22"/>
        <v>9.085711434449912E-07</v>
      </c>
      <c r="Q27" s="179">
        <f t="shared" si="8"/>
        <v>2.1508835685360753E-05</v>
      </c>
      <c r="R27" s="179">
        <f t="shared" si="9"/>
        <v>0.010859510255538038</v>
      </c>
      <c r="S27" s="180">
        <f t="shared" si="10"/>
        <v>0.0019806450916505986</v>
      </c>
      <c r="T27" s="179">
        <f t="shared" si="11"/>
        <v>0.9891404897444619</v>
      </c>
      <c r="U27" s="181">
        <f t="shared" si="12"/>
        <v>0.002150883568536075</v>
      </c>
      <c r="X27" t="s">
        <v>117</v>
      </c>
      <c r="Y27">
        <v>0.1</v>
      </c>
    </row>
    <row r="28" spans="1:21" ht="12.75">
      <c r="A28" s="91">
        <f t="shared" si="19"/>
        <v>1982.4999999999977</v>
      </c>
      <c r="B28" s="171">
        <f t="shared" si="13"/>
        <v>71.27096677764217</v>
      </c>
      <c r="C28" s="171">
        <f t="shared" si="14"/>
        <v>0.7808705201540604</v>
      </c>
      <c r="D28" s="172">
        <f t="shared" si="15"/>
        <v>0.0015966995184228435</v>
      </c>
      <c r="E28" s="171">
        <f t="shared" si="16"/>
        <v>72.05343399731464</v>
      </c>
      <c r="F28" s="172">
        <f t="shared" si="0"/>
        <v>0.9891404590140473</v>
      </c>
      <c r="G28" s="171">
        <f t="shared" si="1"/>
        <v>0.21526323673867742</v>
      </c>
      <c r="H28" s="171">
        <f t="shared" si="2"/>
        <v>0.21526106151851876</v>
      </c>
      <c r="I28" s="91">
        <f t="shared" si="3"/>
        <v>0.10582799271313696</v>
      </c>
      <c r="J28" s="91">
        <f t="shared" si="4"/>
        <v>29.745695056150083</v>
      </c>
      <c r="K28" s="176">
        <f t="shared" si="17"/>
        <v>0.010888925312343978</v>
      </c>
      <c r="L28" s="177">
        <f t="shared" si="5"/>
        <v>0.009313447989348175</v>
      </c>
      <c r="M28" s="178">
        <f t="shared" si="6"/>
        <v>0.0006591627121210862</v>
      </c>
      <c r="N28" s="403">
        <f t="shared" si="7"/>
        <v>0</v>
      </c>
      <c r="O28" s="177">
        <f t="shared" si="18"/>
        <v>5.009883451593229E-05</v>
      </c>
      <c r="P28" s="174">
        <f t="shared" si="22"/>
        <v>9.313447989348176E-07</v>
      </c>
      <c r="Q28" s="179">
        <f t="shared" si="8"/>
        <v>2.215993645052852E-05</v>
      </c>
      <c r="R28" s="179">
        <f t="shared" si="9"/>
        <v>0.010859540985952801</v>
      </c>
      <c r="S28" s="180">
        <f t="shared" si="10"/>
        <v>0.0020405960509006023</v>
      </c>
      <c r="T28" s="179">
        <f t="shared" si="11"/>
        <v>0.9891404590140473</v>
      </c>
      <c r="U28" s="181">
        <f t="shared" si="12"/>
        <v>0.002215993645052852</v>
      </c>
    </row>
    <row r="29" spans="1:21" ht="12.75">
      <c r="A29" s="91">
        <f t="shared" si="19"/>
        <v>1982.5999999999976</v>
      </c>
      <c r="B29" s="171">
        <f t="shared" si="13"/>
        <v>71.07754841962881</v>
      </c>
      <c r="C29" s="171">
        <f t="shared" si="14"/>
        <v>0.778705027571112</v>
      </c>
      <c r="D29" s="172">
        <f t="shared" si="15"/>
        <v>0.0016405591337322794</v>
      </c>
      <c r="E29" s="171">
        <f t="shared" si="16"/>
        <v>71.85789400633365</v>
      </c>
      <c r="F29" s="172">
        <f t="shared" si="0"/>
        <v>0.9891404333859818</v>
      </c>
      <c r="G29" s="171">
        <f t="shared" si="1"/>
        <v>0.21467905123862213</v>
      </c>
      <c r="H29" s="171">
        <f t="shared" si="2"/>
        <v>0.2146768162675095</v>
      </c>
      <c r="I29" s="91">
        <f t="shared" si="3"/>
        <v>0.1059560685001191</v>
      </c>
      <c r="J29" s="91">
        <f t="shared" si="4"/>
        <v>29.745695056150083</v>
      </c>
      <c r="K29" s="172">
        <f t="shared" si="17"/>
        <v>0.01088561603453707</v>
      </c>
      <c r="L29" s="177">
        <f t="shared" si="5"/>
        <v>0.00957374803264361</v>
      </c>
      <c r="M29" s="178">
        <f t="shared" si="6"/>
        <v>0.000679112189250646</v>
      </c>
      <c r="N29" s="403">
        <f t="shared" si="7"/>
        <v>0</v>
      </c>
      <c r="O29" s="177">
        <f t="shared" si="18"/>
        <v>5.147207298801538E-05</v>
      </c>
      <c r="P29" s="174">
        <f t="shared" si="22"/>
        <v>9.57374803264361E-07</v>
      </c>
      <c r="Q29" s="179">
        <f t="shared" si="8"/>
        <v>2.283060415864231E-05</v>
      </c>
      <c r="R29" s="179">
        <f t="shared" si="9"/>
        <v>0.010859566614018268</v>
      </c>
      <c r="S29" s="180">
        <f t="shared" si="10"/>
        <v>0.0021023494739809425</v>
      </c>
      <c r="T29" s="179">
        <f t="shared" si="11"/>
        <v>0.9891404333859818</v>
      </c>
      <c r="U29" s="181">
        <f t="shared" si="12"/>
        <v>0.002283060415864231</v>
      </c>
    </row>
    <row r="30" spans="1:21" ht="12.75">
      <c r="A30" s="91">
        <f t="shared" si="19"/>
        <v>1982.6999999999975</v>
      </c>
      <c r="B30" s="171">
        <f t="shared" si="13"/>
        <v>70.88506651487931</v>
      </c>
      <c r="C30" s="171">
        <f t="shared" si="14"/>
        <v>0.7765482885609184</v>
      </c>
      <c r="D30" s="172">
        <f t="shared" si="15"/>
        <v>0.0016856199306829708</v>
      </c>
      <c r="E30" s="171">
        <f t="shared" si="16"/>
        <v>71.66330042337091</v>
      </c>
      <c r="F30" s="172">
        <f t="shared" si="0"/>
        <v>0.9891404121231653</v>
      </c>
      <c r="G30" s="171">
        <f t="shared" si="1"/>
        <v>0.21409769317984179</v>
      </c>
      <c r="H30" s="171">
        <f t="shared" si="2"/>
        <v>0.21409539682137813</v>
      </c>
      <c r="I30" s="91">
        <f t="shared" si="3"/>
        <v>0.10608429928774701</v>
      </c>
      <c r="J30" s="91">
        <f t="shared" si="4"/>
        <v>29.745695056150083</v>
      </c>
      <c r="K30" s="172">
        <f t="shared" si="17"/>
        <v>0.010882856975983578</v>
      </c>
      <c r="L30" s="177">
        <f t="shared" si="5"/>
        <v>0.009841299940798822</v>
      </c>
      <c r="M30" s="178">
        <f t="shared" si="6"/>
        <v>0.0006996598836845198</v>
      </c>
      <c r="N30" s="403">
        <f t="shared" si="7"/>
        <v>0</v>
      </c>
      <c r="O30" s="177">
        <f t="shared" si="18"/>
        <v>5.288280760543026E-05</v>
      </c>
      <c r="P30" s="174">
        <f t="shared" si="22"/>
        <v>9.841299940798822E-07</v>
      </c>
      <c r="Q30" s="179">
        <f t="shared" si="8"/>
        <v>2.3521382921588895E-05</v>
      </c>
      <c r="R30" s="179">
        <f t="shared" si="9"/>
        <v>0.010859587876834694</v>
      </c>
      <c r="S30" s="180">
        <f t="shared" si="10"/>
        <v>0.002165955392447619</v>
      </c>
      <c r="T30" s="179">
        <f t="shared" si="11"/>
        <v>0.9891404121231653</v>
      </c>
      <c r="U30" s="181">
        <f t="shared" si="12"/>
        <v>0.0023521382921588892</v>
      </c>
    </row>
    <row r="31" spans="1:21" ht="12.75">
      <c r="A31" s="91">
        <f t="shared" si="19"/>
        <v>1982.7999999999975</v>
      </c>
      <c r="B31" s="171">
        <f t="shared" si="13"/>
        <v>70.6935172492037</v>
      </c>
      <c r="C31" s="171">
        <f t="shared" si="14"/>
        <v>0.7744002790209285</v>
      </c>
      <c r="D31" s="172">
        <f t="shared" si="15"/>
        <v>0.0017319145842538274</v>
      </c>
      <c r="E31" s="171">
        <f t="shared" si="16"/>
        <v>71.46964944280887</v>
      </c>
      <c r="F31" s="172">
        <f t="shared" si="0"/>
        <v>0.9891403945639016</v>
      </c>
      <c r="G31" s="171">
        <f t="shared" si="1"/>
        <v>0.2135191511928637</v>
      </c>
      <c r="H31" s="171">
        <f t="shared" si="2"/>
        <v>0.21351679176613786</v>
      </c>
      <c r="I31" s="91">
        <f t="shared" si="3"/>
        <v>0.10621268526360651</v>
      </c>
      <c r="J31" s="91">
        <f t="shared" si="4"/>
        <v>29.745695056150083</v>
      </c>
      <c r="K31" s="172">
        <f t="shared" si="17"/>
        <v>0.010880568395047049</v>
      </c>
      <c r="L31" s="177">
        <f t="shared" si="5"/>
        <v>0.010116304480116654</v>
      </c>
      <c r="M31" s="178">
        <f t="shared" si="6"/>
        <v>0.0007208235032373848</v>
      </c>
      <c r="N31" s="403">
        <f t="shared" si="7"/>
        <v>0</v>
      </c>
      <c r="O31" s="177">
        <f t="shared" si="18"/>
        <v>5.433196852499452E-05</v>
      </c>
      <c r="P31" s="174">
        <f t="shared" si="22"/>
        <v>1.0116304480116654E-06</v>
      </c>
      <c r="Q31" s="179">
        <f t="shared" si="8"/>
        <v>2.4232868046172978E-05</v>
      </c>
      <c r="R31" s="179">
        <f t="shared" si="9"/>
        <v>0.010859605436098513</v>
      </c>
      <c r="S31" s="180">
        <f t="shared" si="10"/>
        <v>0.0022314685546143583</v>
      </c>
      <c r="T31" s="179">
        <f t="shared" si="11"/>
        <v>0.9891403945639016</v>
      </c>
      <c r="U31" s="181">
        <f t="shared" si="12"/>
        <v>0.002423286804617298</v>
      </c>
    </row>
    <row r="32" spans="1:21" ht="12.75">
      <c r="A32" s="91">
        <f t="shared" si="19"/>
        <v>1982.8999999999974</v>
      </c>
      <c r="B32" s="171">
        <f t="shared" si="13"/>
        <v>70.50289683198018</v>
      </c>
      <c r="C32" s="171">
        <f t="shared" si="14"/>
        <v>0.7722609664923884</v>
      </c>
      <c r="D32" s="172">
        <f t="shared" si="15"/>
        <v>0.001779476649080812</v>
      </c>
      <c r="E32" s="171">
        <f t="shared" si="16"/>
        <v>71.27693727512164</v>
      </c>
      <c r="F32" s="172">
        <f t="shared" si="0"/>
        <v>0.9891403801463334</v>
      </c>
      <c r="G32" s="171">
        <f t="shared" si="1"/>
        <v>0.21294341395628968</v>
      </c>
      <c r="H32" s="171">
        <f t="shared" si="2"/>
        <v>0.21294098973467862</v>
      </c>
      <c r="I32" s="91">
        <f t="shared" si="3"/>
        <v>0.10634122661551042</v>
      </c>
      <c r="J32" s="91">
        <f t="shared" si="4"/>
        <v>29.745695056150083</v>
      </c>
      <c r="K32" s="172">
        <f t="shared" si="17"/>
        <v>0.010878678797488741</v>
      </c>
      <c r="L32" s="177">
        <f t="shared" si="5"/>
        <v>0.010398967887171916</v>
      </c>
      <c r="M32" s="178">
        <f t="shared" si="6"/>
        <v>0.0007426212711523566</v>
      </c>
      <c r="N32" s="403">
        <f t="shared" si="7"/>
        <v>0</v>
      </c>
      <c r="O32" s="177">
        <f t="shared" si="18"/>
        <v>5.582059220318739E-05</v>
      </c>
      <c r="P32" s="174">
        <f t="shared" si="22"/>
        <v>1.0398967887171917E-06</v>
      </c>
      <c r="Q32" s="179">
        <f t="shared" si="8"/>
        <v>2.496567216703231E-05</v>
      </c>
      <c r="R32" s="179">
        <f t="shared" si="9"/>
        <v>0.010859619853666732</v>
      </c>
      <c r="S32" s="180">
        <f t="shared" si="10"/>
        <v>0.0022989453133207692</v>
      </c>
      <c r="T32" s="179">
        <f t="shared" si="11"/>
        <v>0.9891403801463334</v>
      </c>
      <c r="U32" s="181">
        <f t="shared" si="12"/>
        <v>0.0024965672167032308</v>
      </c>
    </row>
    <row r="33" spans="1:23" ht="12.75">
      <c r="A33" s="91">
        <f t="shared" si="19"/>
        <v>1982.9999999999973</v>
      </c>
      <c r="B33" s="171">
        <f t="shared" si="13"/>
        <v>70.31320149493915</v>
      </c>
      <c r="C33" s="171">
        <f t="shared" si="14"/>
        <v>0.7701303112860544</v>
      </c>
      <c r="D33" s="172">
        <f t="shared" si="15"/>
        <v>0.0018283405821924446</v>
      </c>
      <c r="E33" s="171">
        <f t="shared" si="16"/>
        <v>71.0851601468074</v>
      </c>
      <c r="F33" s="172">
        <f t="shared" si="0"/>
        <v>0.989140368393713</v>
      </c>
      <c r="G33" s="171">
        <f t="shared" si="1"/>
        <v>0.21237047019659447</v>
      </c>
      <c r="H33" s="171">
        <f t="shared" si="2"/>
        <v>0.21236797940653318</v>
      </c>
      <c r="I33" s="91">
        <f t="shared" si="3"/>
        <v>0.10646992353149885</v>
      </c>
      <c r="J33" s="91">
        <f t="shared" si="4"/>
        <v>29.745695056150083</v>
      </c>
      <c r="K33" s="172">
        <f t="shared" si="17"/>
        <v>0.010877127528522766</v>
      </c>
      <c r="L33" s="177">
        <f t="shared" si="5"/>
        <v>0.010689502014087266</v>
      </c>
      <c r="M33" s="178">
        <f t="shared" si="6"/>
        <v>0.0007650719405338912</v>
      </c>
      <c r="N33" s="403">
        <f t="shared" si="7"/>
        <v>0</v>
      </c>
      <c r="O33" s="177">
        <f t="shared" si="18"/>
        <v>5.7349742059792495E-05</v>
      </c>
      <c r="P33" s="174">
        <f t="shared" si="22"/>
        <v>1.0689502014087266E-06</v>
      </c>
      <c r="Q33" s="179">
        <f t="shared" si="8"/>
        <v>2.572042573184749E-05</v>
      </c>
      <c r="R33" s="179">
        <f t="shared" si="9"/>
        <v>0.010859631606287059</v>
      </c>
      <c r="S33" s="180">
        <f t="shared" si="10"/>
        <v>0.002368443669576871</v>
      </c>
      <c r="T33" s="179">
        <f t="shared" si="11"/>
        <v>0.989140368393713</v>
      </c>
      <c r="U33" s="181">
        <f t="shared" si="12"/>
        <v>0.002572042573184749</v>
      </c>
      <c r="V33">
        <f>IF(ISNUMBER('Set-up'!$N$10)=FALSE,"",('Set-up'!$N$10-'EPP model'!U33)^2)</f>
      </c>
      <c r="W33" t="e">
        <f>IF(ISNUMBER('Set-up'!$N$10)=FALSE,NA()=FALSE,('Set-up'!$N$10))</f>
        <v>#N/A</v>
      </c>
    </row>
    <row r="34" spans="1:21" ht="12.75">
      <c r="A34" s="91">
        <f t="shared" si="19"/>
        <v>1983.0999999999972</v>
      </c>
      <c r="B34" s="171">
        <f t="shared" si="13"/>
        <v>70.1244274911173</v>
      </c>
      <c r="C34" s="171">
        <f t="shared" si="14"/>
        <v>0.7680082674372836</v>
      </c>
      <c r="D34" s="172">
        <f t="shared" si="15"/>
        <v>0.0018785417663297083</v>
      </c>
      <c r="E34" s="171">
        <f t="shared" si="16"/>
        <v>70.89431430032091</v>
      </c>
      <c r="F34" s="172">
        <f t="shared" si="0"/>
        <v>0.9891403589018122</v>
      </c>
      <c r="G34" s="171">
        <f t="shared" si="1"/>
        <v>0.2118003086879238</v>
      </c>
      <c r="H34" s="171">
        <f t="shared" si="2"/>
        <v>0.21179774950764474</v>
      </c>
      <c r="I34" s="91">
        <f t="shared" si="3"/>
        <v>0.10659877619983953</v>
      </c>
      <c r="J34" s="91">
        <f t="shared" si="4"/>
        <v>29.745695056150083</v>
      </c>
      <c r="K34" s="172">
        <f t="shared" si="17"/>
        <v>0.010875863158442765</v>
      </c>
      <c r="L34" s="177">
        <f t="shared" si="5"/>
        <v>0.010988124477284618</v>
      </c>
      <c r="M34" s="178">
        <f t="shared" si="6"/>
        <v>0.0007881948091743107</v>
      </c>
      <c r="N34" s="403">
        <f t="shared" si="7"/>
        <v>0</v>
      </c>
      <c r="O34" s="177">
        <f t="shared" si="18"/>
        <v>5.892050917195914E-05</v>
      </c>
      <c r="P34" s="174">
        <f t="shared" si="22"/>
        <v>1.0988124477284618E-06</v>
      </c>
      <c r="Q34" s="179">
        <f t="shared" si="8"/>
        <v>2.6497777499784702E-05</v>
      </c>
      <c r="R34" s="179">
        <f t="shared" si="9"/>
        <v>0.010859641098187874</v>
      </c>
      <c r="S34" s="180">
        <f t="shared" si="10"/>
        <v>0.0024400233175483426</v>
      </c>
      <c r="T34" s="179">
        <f t="shared" si="11"/>
        <v>0.9891403589018122</v>
      </c>
      <c r="U34" s="181">
        <f t="shared" si="12"/>
        <v>0.0026497777499784702</v>
      </c>
    </row>
    <row r="35" spans="1:21" ht="12.75">
      <c r="A35" s="91">
        <f t="shared" si="19"/>
        <v>1983.199999999997</v>
      </c>
      <c r="B35" s="171">
        <f t="shared" si="13"/>
        <v>69.93657109395721</v>
      </c>
      <c r="C35" s="171">
        <f t="shared" si="14"/>
        <v>0.765894783515478</v>
      </c>
      <c r="D35" s="172">
        <f t="shared" si="15"/>
        <v>0.001930116533859001</v>
      </c>
      <c r="E35" s="171">
        <f t="shared" si="16"/>
        <v>70.70439599400655</v>
      </c>
      <c r="F35" s="171"/>
      <c r="G35" s="171">
        <f t="shared" si="1"/>
        <v>0.2112329182518943</v>
      </c>
      <c r="H35" s="171">
        <f t="shared" si="2"/>
        <v>0.2112302888101336</v>
      </c>
      <c r="I35" s="91">
        <f aca="true" t="shared" si="23" ref="I35:I66">I36/(1+gr*Solution_interval)</f>
        <v>0.10672778480902798</v>
      </c>
      <c r="J35" s="91">
        <f aca="true" t="shared" si="24" ref="J35:J98">force_of_infection</f>
        <v>29.745695056150083</v>
      </c>
      <c r="K35" s="172">
        <f t="shared" si="17"/>
        <v>0.01087484210714153</v>
      </c>
      <c r="L35" s="177">
        <f aca="true" t="shared" si="25" ref="L35:L53">phi*P35</f>
        <v>0.011295058809787999</v>
      </c>
      <c r="M35" s="178">
        <f aca="true" t="shared" si="26" ref="M35:M53">MIN(1,J35*D35/E35)</f>
        <v>0.0008120097347818368</v>
      </c>
      <c r="N35" s="403">
        <f t="shared" si="7"/>
        <v>0</v>
      </c>
      <c r="O35" s="177">
        <f t="shared" si="18"/>
        <v>6.053401297970227E-05</v>
      </c>
      <c r="P35" s="174">
        <f>O24*$Y$6+O13*$Y$7</f>
        <v>1.1295058809787998E-06</v>
      </c>
      <c r="Q35" s="179">
        <f aca="true" t="shared" si="27" ref="Q35:Q53">D35/E35</f>
        <v>2.729839505343646E-05</v>
      </c>
      <c r="R35" s="179">
        <f aca="true" t="shared" si="28" ref="R35:R53">(C35+D35)/E35</f>
        <v>0.01085964867183681</v>
      </c>
      <c r="S35" s="180">
        <f aca="true" t="shared" si="29" ref="S35:S53">D35/(C35+D35)</f>
        <v>0.0025137456908925202</v>
      </c>
      <c r="T35" s="179">
        <f aca="true" t="shared" si="30" ref="T35:T53">B35/E35</f>
        <v>0.9891403513281632</v>
      </c>
      <c r="U35" s="181">
        <f aca="true" t="shared" si="31" ref="U35:U53">Q35*100</f>
        <v>0.0027298395053436462</v>
      </c>
    </row>
    <row r="36" spans="1:21" ht="12.75">
      <c r="A36" s="91">
        <f t="shared" si="19"/>
        <v>1983.299999999997</v>
      </c>
      <c r="B36" s="171">
        <f t="shared" si="13"/>
        <v>69.74962859653087</v>
      </c>
      <c r="C36" s="171">
        <f t="shared" si="14"/>
        <v>0.7637898033091359</v>
      </c>
      <c r="D36" s="172">
        <f t="shared" si="15"/>
        <v>0.001983102191287215</v>
      </c>
      <c r="E36" s="171">
        <f aca="true" t="shared" si="32" ref="E36:E53">B36+C36+D36</f>
        <v>70.5154015020313</v>
      </c>
      <c r="F36" s="171"/>
      <c r="G36" s="171">
        <f t="shared" si="1"/>
        <v>0.21066828775739366</v>
      </c>
      <c r="H36" s="171">
        <f t="shared" si="2"/>
        <v>0.2106655861320637</v>
      </c>
      <c r="I36" s="91">
        <f t="shared" si="23"/>
        <v>0.10685694954778788</v>
      </c>
      <c r="J36" s="91">
        <f t="shared" si="24"/>
        <v>29.745695056150083</v>
      </c>
      <c r="K36" s="172">
        <f t="shared" si="17"/>
        <v>0.010874027471720024</v>
      </c>
      <c r="L36" s="177">
        <f t="shared" si="25"/>
        <v>0.011610534617153992</v>
      </c>
      <c r="M36" s="178">
        <f t="shared" si="26"/>
        <v>0.0008365371506182695</v>
      </c>
      <c r="N36" s="403">
        <f t="shared" si="7"/>
        <v>0</v>
      </c>
      <c r="O36" s="177">
        <f t="shared" si="18"/>
        <v>6.219140200331956E-05</v>
      </c>
      <c r="P36" s="174">
        <f aca="true" t="shared" si="33" ref="P36:P45">O25*$Y$6+O14*$Y$7+O3*$Y$8</f>
        <v>1.1610534617153992E-06</v>
      </c>
      <c r="Q36" s="179">
        <f t="shared" si="27"/>
        <v>2.8122965324533944E-05</v>
      </c>
      <c r="R36" s="179">
        <f t="shared" si="28"/>
        <v>0.010859654617131606</v>
      </c>
      <c r="S36" s="180">
        <f t="shared" si="29"/>
        <v>0.002589674010457816</v>
      </c>
      <c r="T36" s="179">
        <f t="shared" si="30"/>
        <v>0.9891403453828683</v>
      </c>
      <c r="U36" s="181">
        <f t="shared" si="31"/>
        <v>0.0028122965324533945</v>
      </c>
    </row>
    <row r="37" spans="1:21" ht="12.75">
      <c r="A37" s="91">
        <f t="shared" si="19"/>
        <v>1983.399999999997</v>
      </c>
      <c r="B37" s="171">
        <f t="shared" si="13"/>
        <v>69.5635963108692</v>
      </c>
      <c r="C37" s="171">
        <f t="shared" si="14"/>
        <v>0.7616932664046566</v>
      </c>
      <c r="D37" s="172">
        <f t="shared" si="15"/>
        <v>0.0020375370443884025</v>
      </c>
      <c r="E37" s="171">
        <f t="shared" si="32"/>
        <v>70.32732711431825</v>
      </c>
      <c r="F37" s="171"/>
      <c r="G37" s="171">
        <f t="shared" si="1"/>
        <v>0.2101064061203815</v>
      </c>
      <c r="H37" s="171">
        <f t="shared" si="2"/>
        <v>0.2101036303372101</v>
      </c>
      <c r="I37" s="91">
        <f t="shared" si="23"/>
        <v>0.10698627060507129</v>
      </c>
      <c r="J37" s="91">
        <f t="shared" si="24"/>
        <v>29.745695056150083</v>
      </c>
      <c r="K37" s="172">
        <f t="shared" si="17"/>
        <v>0.010873388027294713</v>
      </c>
      <c r="L37" s="177">
        <f t="shared" si="25"/>
        <v>0.2636460545530295</v>
      </c>
      <c r="M37" s="178">
        <f t="shared" si="26"/>
        <v>0.0008617980815546637</v>
      </c>
      <c r="N37" s="403">
        <f t="shared" si="7"/>
        <v>0</v>
      </c>
      <c r="O37" s="177">
        <f t="shared" si="18"/>
        <v>6.38938545731513E-05</v>
      </c>
      <c r="P37" s="174">
        <f t="shared" si="33"/>
        <v>2.636460545530295E-05</v>
      </c>
      <c r="Q37" s="179">
        <f t="shared" si="27"/>
        <v>2.8972195133711706E-05</v>
      </c>
      <c r="R37" s="179">
        <f t="shared" si="28"/>
        <v>0.010859659179248882</v>
      </c>
      <c r="S37" s="180">
        <f t="shared" si="29"/>
        <v>0.0026678733333614243</v>
      </c>
      <c r="T37" s="179">
        <f t="shared" si="30"/>
        <v>0.9891403408207511</v>
      </c>
      <c r="U37" s="181">
        <f t="shared" si="31"/>
        <v>0.0028972195133711706</v>
      </c>
    </row>
    <row r="38" spans="1:21" ht="12.75">
      <c r="A38" s="91">
        <f t="shared" si="19"/>
        <v>1983.4999999999968</v>
      </c>
      <c r="B38" s="171">
        <f t="shared" si="13"/>
        <v>69.378470567382</v>
      </c>
      <c r="C38" s="171">
        <f t="shared" si="14"/>
        <v>0.7596051086743748</v>
      </c>
      <c r="D38" s="172">
        <f t="shared" si="15"/>
        <v>0.0020682892972702354</v>
      </c>
      <c r="E38" s="171">
        <f t="shared" si="32"/>
        <v>70.14014396535364</v>
      </c>
      <c r="F38" s="171"/>
      <c r="G38" s="171">
        <f t="shared" si="1"/>
        <v>0.2095471871036923</v>
      </c>
      <c r="H38" s="171">
        <f t="shared" si="2"/>
        <v>0.20954436942602564</v>
      </c>
      <c r="I38" s="91">
        <f t="shared" si="23"/>
        <v>0.10711574817005895</v>
      </c>
      <c r="J38" s="91">
        <f t="shared" si="24"/>
        <v>29.745695056150083</v>
      </c>
      <c r="K38" s="172">
        <f t="shared" si="17"/>
        <v>0.01087289737535084</v>
      </c>
      <c r="L38" s="177">
        <f t="shared" si="25"/>
        <v>0.020390978915328522</v>
      </c>
      <c r="M38" s="178">
        <f t="shared" si="26"/>
        <v>0.0008771396698998659</v>
      </c>
      <c r="N38" s="403">
        <f t="shared" si="7"/>
        <v>0</v>
      </c>
      <c r="O38" s="177">
        <f t="shared" si="18"/>
        <v>6.564257957206385E-05</v>
      </c>
      <c r="P38" s="174">
        <f t="shared" si="33"/>
        <v>2.039097891532852E-06</v>
      </c>
      <c r="Q38" s="179">
        <f t="shared" si="27"/>
        <v>2.948795340784994E-05</v>
      </c>
      <c r="R38" s="179">
        <f t="shared" si="28"/>
        <v>0.010859307593492828</v>
      </c>
      <c r="S38" s="180">
        <f t="shared" si="29"/>
        <v>0.002715454291535113</v>
      </c>
      <c r="T38" s="179">
        <f t="shared" si="30"/>
        <v>0.9891406924065071</v>
      </c>
      <c r="U38" s="181">
        <f t="shared" si="31"/>
        <v>0.002948795340784994</v>
      </c>
    </row>
    <row r="39" spans="1:21" ht="12.75">
      <c r="A39" s="91">
        <f t="shared" si="19"/>
        <v>1983.5999999999967</v>
      </c>
      <c r="B39" s="171">
        <f t="shared" si="13"/>
        <v>69.19424361316602</v>
      </c>
      <c r="C39" s="171">
        <f t="shared" si="14"/>
        <v>0.7575301747156665</v>
      </c>
      <c r="D39" s="172">
        <f t="shared" si="15"/>
        <v>0.0021242237780899243</v>
      </c>
      <c r="E39" s="171">
        <f t="shared" si="32"/>
        <v>69.95389801165979</v>
      </c>
      <c r="F39" s="171"/>
      <c r="G39" s="171">
        <f t="shared" si="1"/>
        <v>0.20899076800473423</v>
      </c>
      <c r="H39" s="171">
        <f t="shared" si="2"/>
        <v>0.20898787412624897</v>
      </c>
      <c r="I39" s="91">
        <f t="shared" si="23"/>
        <v>0.10724538243216056</v>
      </c>
      <c r="J39" s="91">
        <f t="shared" si="24"/>
        <v>29.745695056150083</v>
      </c>
      <c r="K39" s="172">
        <f t="shared" si="17"/>
        <v>0.010910774387601173</v>
      </c>
      <c r="L39" s="177">
        <f t="shared" si="25"/>
        <v>0.020853178633656648</v>
      </c>
      <c r="M39" s="178">
        <f t="shared" si="26"/>
        <v>0.000903259354089948</v>
      </c>
      <c r="N39" s="403">
        <f t="shared" si="7"/>
        <v>0</v>
      </c>
      <c r="O39" s="177">
        <f t="shared" si="18"/>
        <v>6.66279774276893E-05</v>
      </c>
      <c r="P39" s="174">
        <f t="shared" si="33"/>
        <v>2.085317863365665E-06</v>
      </c>
      <c r="Q39" s="179">
        <f t="shared" si="27"/>
        <v>3.0366053050194036E-05</v>
      </c>
      <c r="R39" s="179">
        <f t="shared" si="28"/>
        <v>0.01085935766391658</v>
      </c>
      <c r="S39" s="180">
        <f t="shared" si="29"/>
        <v>0.0027963028744411107</v>
      </c>
      <c r="T39" s="179">
        <f t="shared" si="30"/>
        <v>0.9891406423360833</v>
      </c>
      <c r="U39" s="181">
        <f t="shared" si="31"/>
        <v>0.0030366053050194038</v>
      </c>
    </row>
    <row r="40" spans="1:21" ht="12.75">
      <c r="A40" s="91">
        <f t="shared" si="19"/>
        <v>1983.6999999999966</v>
      </c>
      <c r="B40" s="171">
        <f t="shared" si="13"/>
        <v>69.0109164798485</v>
      </c>
      <c r="C40" s="171">
        <f t="shared" si="14"/>
        <v>0.7554629623809571</v>
      </c>
      <c r="D40" s="172">
        <f t="shared" si="15"/>
        <v>0.002181674634984415</v>
      </c>
      <c r="E40" s="171">
        <f t="shared" si="32"/>
        <v>69.76856111686445</v>
      </c>
      <c r="F40" s="171"/>
      <c r="G40" s="171">
        <f t="shared" si="1"/>
        <v>0.2084370647646884</v>
      </c>
      <c r="H40" s="171">
        <f t="shared" si="2"/>
        <v>0.208434092619591</v>
      </c>
      <c r="I40" s="91">
        <f t="shared" si="23"/>
        <v>0.10737517358101502</v>
      </c>
      <c r="J40" s="91">
        <f t="shared" si="24"/>
        <v>29.745695056150083</v>
      </c>
      <c r="K40" s="172">
        <f t="shared" si="17"/>
        <v>0.010905372245997729</v>
      </c>
      <c r="L40" s="177">
        <f t="shared" si="25"/>
        <v>0.021433015769553337</v>
      </c>
      <c r="M40" s="178">
        <f t="shared" si="26"/>
        <v>0.0009301528849832828</v>
      </c>
      <c r="N40" s="403">
        <f t="shared" si="7"/>
        <v>0</v>
      </c>
      <c r="O40" s="177">
        <f t="shared" si="18"/>
        <v>6.842462163173184E-05</v>
      </c>
      <c r="P40" s="174">
        <f t="shared" si="33"/>
        <v>2.143301576955334E-06</v>
      </c>
      <c r="Q40" s="179">
        <f t="shared" si="27"/>
        <v>3.127016811096396E-05</v>
      </c>
      <c r="R40" s="179">
        <f t="shared" si="28"/>
        <v>0.010859398916753691</v>
      </c>
      <c r="S40" s="180">
        <f t="shared" si="29"/>
        <v>0.0028795487071315608</v>
      </c>
      <c r="T40" s="179">
        <f t="shared" si="30"/>
        <v>0.9891406010832463</v>
      </c>
      <c r="U40" s="181">
        <f t="shared" si="31"/>
        <v>0.003127016811096396</v>
      </c>
    </row>
    <row r="41" spans="1:21" ht="12.75">
      <c r="A41" s="91">
        <f t="shared" si="19"/>
        <v>1983.7999999999965</v>
      </c>
      <c r="B41" s="171">
        <f t="shared" si="13"/>
        <v>68.82848545656407</v>
      </c>
      <c r="C41" s="171">
        <f t="shared" si="14"/>
        <v>0.7534034938180013</v>
      </c>
      <c r="D41" s="172">
        <f t="shared" si="15"/>
        <v>0.0022406720987585157</v>
      </c>
      <c r="E41" s="171">
        <f t="shared" si="32"/>
        <v>69.58412962248083</v>
      </c>
      <c r="F41" s="171"/>
      <c r="G41" s="171">
        <f t="shared" si="1"/>
        <v>0.2078860664536426</v>
      </c>
      <c r="H41" s="171">
        <f t="shared" si="2"/>
        <v>0.20788301393495515</v>
      </c>
      <c r="I41" s="91">
        <f t="shared" si="23"/>
        <v>0.10750512180649077</v>
      </c>
      <c r="J41" s="91">
        <f t="shared" si="24"/>
        <v>29.745695056150083</v>
      </c>
      <c r="K41" s="172">
        <f t="shared" si="17"/>
        <v>0.010900923429058296</v>
      </c>
      <c r="L41" s="177">
        <f t="shared" si="25"/>
        <v>0.022028921600605933</v>
      </c>
      <c r="M41" s="178">
        <f t="shared" si="26"/>
        <v>0.0009578383653298095</v>
      </c>
      <c r="N41" s="403">
        <f t="shared" si="7"/>
        <v>0</v>
      </c>
      <c r="O41" s="177">
        <f t="shared" si="18"/>
        <v>7.026960539566645E-05</v>
      </c>
      <c r="P41" s="174">
        <f t="shared" si="33"/>
        <v>2.2028921600605934E-06</v>
      </c>
      <c r="Q41" s="179">
        <f t="shared" si="27"/>
        <v>3.2200907174020504E-05</v>
      </c>
      <c r="R41" s="179">
        <f t="shared" si="28"/>
        <v>0.01085943260361815</v>
      </c>
      <c r="S41" s="180">
        <f t="shared" si="29"/>
        <v>0.0029652476652686065</v>
      </c>
      <c r="T41" s="179">
        <f t="shared" si="30"/>
        <v>0.9891405673963818</v>
      </c>
      <c r="U41" s="181">
        <f t="shared" si="31"/>
        <v>0.0032200907174020506</v>
      </c>
    </row>
    <row r="42" spans="1:21" ht="12.75">
      <c r="A42" s="91">
        <f t="shared" si="19"/>
        <v>1983.8999999999965</v>
      </c>
      <c r="B42" s="171">
        <f t="shared" si="13"/>
        <v>68.64694686243797</v>
      </c>
      <c r="C42" s="171">
        <f t="shared" si="14"/>
        <v>0.7513517758604397</v>
      </c>
      <c r="D42" s="172">
        <f t="shared" si="15"/>
        <v>0.002301257378969451</v>
      </c>
      <c r="E42" s="171">
        <f t="shared" si="32"/>
        <v>69.40059989567739</v>
      </c>
      <c r="F42" s="171"/>
      <c r="G42" s="171">
        <f t="shared" si="1"/>
        <v>0.207337762218331</v>
      </c>
      <c r="H42" s="171">
        <f t="shared" si="2"/>
        <v>0.20733462716293494</v>
      </c>
      <c r="I42" s="91">
        <f t="shared" si="23"/>
        <v>0.10763522729868602</v>
      </c>
      <c r="J42" s="91">
        <f t="shared" si="24"/>
        <v>29.745695056150083</v>
      </c>
      <c r="K42" s="172">
        <f t="shared" si="17"/>
        <v>0.010897291878273183</v>
      </c>
      <c r="L42" s="177">
        <f t="shared" si="25"/>
        <v>0.022641329905418166</v>
      </c>
      <c r="M42" s="178">
        <f t="shared" si="26"/>
        <v>0.000986338739772249</v>
      </c>
      <c r="N42" s="403">
        <f t="shared" si="7"/>
        <v>0</v>
      </c>
      <c r="O42" s="177">
        <f t="shared" si="18"/>
        <v>7.216387709524017E-05</v>
      </c>
      <c r="P42" s="174">
        <f t="shared" si="33"/>
        <v>2.2641329905418166E-06</v>
      </c>
      <c r="Q42" s="179">
        <f t="shared" si="27"/>
        <v>3.315904159947737E-05</v>
      </c>
      <c r="R42" s="179">
        <f t="shared" si="28"/>
        <v>0.010859459923578419</v>
      </c>
      <c r="S42" s="180">
        <f t="shared" si="29"/>
        <v>0.003053470599166848</v>
      </c>
      <c r="T42" s="179">
        <f t="shared" si="30"/>
        <v>0.9891405400764215</v>
      </c>
      <c r="U42" s="181">
        <f t="shared" si="31"/>
        <v>0.0033159041599477366</v>
      </c>
    </row>
    <row r="43" spans="1:23" ht="12.75">
      <c r="A43" s="91">
        <f t="shared" si="19"/>
        <v>1983.9999999999964</v>
      </c>
      <c r="B43" s="171">
        <f t="shared" si="13"/>
        <v>68.4662970458796</v>
      </c>
      <c r="C43" s="171">
        <f t="shared" si="14"/>
        <v>0.7493078003218964</v>
      </c>
      <c r="D43" s="172">
        <f t="shared" si="15"/>
        <v>0.0023634727690046513</v>
      </c>
      <c r="E43" s="171">
        <f t="shared" si="32"/>
        <v>69.2179683189705</v>
      </c>
      <c r="F43" s="171"/>
      <c r="G43" s="171">
        <f t="shared" si="1"/>
        <v>0.20679214125134038</v>
      </c>
      <c r="H43" s="171">
        <f t="shared" si="2"/>
        <v>0.20678892143849997</v>
      </c>
      <c r="I43" s="91">
        <f t="shared" si="23"/>
        <v>0.10776549024792903</v>
      </c>
      <c r="J43" s="91">
        <f t="shared" si="24"/>
        <v>29.745695056150083</v>
      </c>
      <c r="K43" s="172">
        <f t="shared" si="17"/>
        <v>0.010894347578620326</v>
      </c>
      <c r="L43" s="177">
        <f t="shared" si="25"/>
        <v>0.023270694363592286</v>
      </c>
      <c r="M43" s="178">
        <f t="shared" si="26"/>
        <v>0.0010156776046409772</v>
      </c>
      <c r="N43" s="403">
        <f t="shared" si="7"/>
        <v>0</v>
      </c>
      <c r="O43" s="177">
        <f t="shared" si="18"/>
        <v>7.410873637278273E-05</v>
      </c>
      <c r="P43" s="174">
        <f t="shared" si="33"/>
        <v>2.3270694363592286E-06</v>
      </c>
      <c r="Q43" s="179">
        <f t="shared" si="27"/>
        <v>3.414536465608593E-05</v>
      </c>
      <c r="R43" s="179">
        <f t="shared" si="28"/>
        <v>0.010859481885210015</v>
      </c>
      <c r="S43" s="180">
        <f t="shared" si="29"/>
        <v>0.0031442904014223677</v>
      </c>
      <c r="T43" s="179">
        <f t="shared" si="30"/>
        <v>0.9891405181147899</v>
      </c>
      <c r="U43" s="181">
        <f t="shared" si="31"/>
        <v>0.003414536465608593</v>
      </c>
      <c r="V43">
        <f>IF(ISNUMBER('Set-up'!$N$11)=FALSE,"",('Set-up'!$N$11-'EPP model'!U43)^2)</f>
      </c>
      <c r="W43" t="e">
        <f>IF(ISNUMBER('Set-up'!$N$11)=FALSE,NA()=FALSE,('Set-up'!$N$11))</f>
        <v>#N/A</v>
      </c>
    </row>
    <row r="44" spans="1:21" ht="12.75">
      <c r="A44" s="91">
        <f t="shared" si="19"/>
        <v>1984.0999999999963</v>
      </c>
      <c r="B44" s="171">
        <f t="shared" si="13"/>
        <v>68.2865323822822</v>
      </c>
      <c r="C44" s="171">
        <f t="shared" si="14"/>
        <v>0.7472715462044357</v>
      </c>
      <c r="D44" s="172">
        <f t="shared" si="15"/>
        <v>0.0024273616718629063</v>
      </c>
      <c r="E44" s="171">
        <f t="shared" si="32"/>
        <v>69.0362312901585</v>
      </c>
      <c r="F44" s="171"/>
      <c r="G44" s="171">
        <f t="shared" si="1"/>
        <v>0.20624919279091306</v>
      </c>
      <c r="H44" s="171">
        <f t="shared" si="2"/>
        <v>0.20624588594076362</v>
      </c>
      <c r="I44" s="91">
        <f t="shared" si="23"/>
        <v>0.10789591084477841</v>
      </c>
      <c r="J44" s="91">
        <f t="shared" si="24"/>
        <v>29.745695056150083</v>
      </c>
      <c r="K44" s="172">
        <f t="shared" si="17"/>
        <v>0.010891981321879398</v>
      </c>
      <c r="L44" s="177">
        <f t="shared" si="25"/>
        <v>0.02391748086802549</v>
      </c>
      <c r="M44" s="178">
        <f t="shared" si="26"/>
        <v>0.0010458792250514068</v>
      </c>
      <c r="N44" s="403">
        <f t="shared" si="7"/>
        <v>0</v>
      </c>
      <c r="O44" s="177">
        <f t="shared" si="18"/>
        <v>7.610551517697435E-05</v>
      </c>
      <c r="P44" s="174">
        <f t="shared" si="33"/>
        <v>2.391748086802549E-06</v>
      </c>
      <c r="Q44" s="179">
        <f t="shared" si="27"/>
        <v>3.5160692096020314E-05</v>
      </c>
      <c r="R44" s="179">
        <f t="shared" si="28"/>
        <v>0.01085949933630245</v>
      </c>
      <c r="S44" s="180">
        <f t="shared" si="29"/>
        <v>0.003237782056717928</v>
      </c>
      <c r="T44" s="179">
        <f t="shared" si="30"/>
        <v>0.9891405006636976</v>
      </c>
      <c r="U44" s="181">
        <f t="shared" si="31"/>
        <v>0.003516069209602031</v>
      </c>
    </row>
    <row r="45" spans="1:21" ht="12.75">
      <c r="A45" s="91">
        <f t="shared" si="19"/>
        <v>1984.1999999999962</v>
      </c>
      <c r="B45" s="171">
        <f t="shared" si="13"/>
        <v>68.10764927207443</v>
      </c>
      <c r="C45" s="171">
        <f t="shared" si="14"/>
        <v>0.7452429815548587</v>
      </c>
      <c r="D45" s="172">
        <f t="shared" si="15"/>
        <v>0.002492968627398287</v>
      </c>
      <c r="E45" s="171">
        <f t="shared" si="32"/>
        <v>68.85538522225667</v>
      </c>
      <c r="F45" s="171"/>
      <c r="G45" s="171">
        <f t="shared" si="1"/>
        <v>0.20570890612075293</v>
      </c>
      <c r="H45" s="171">
        <f t="shared" si="2"/>
        <v>0.2057055098927522</v>
      </c>
      <c r="I45" s="91">
        <f t="shared" si="23"/>
        <v>0.10802648928002341</v>
      </c>
      <c r="J45" s="91">
        <f t="shared" si="24"/>
        <v>29.745695056150083</v>
      </c>
      <c r="K45" s="172">
        <f t="shared" si="17"/>
        <v>0.0108901014157841</v>
      </c>
      <c r="L45" s="177">
        <f t="shared" si="25"/>
        <v>0.024582167846081426</v>
      </c>
      <c r="M45" s="178">
        <f t="shared" si="26"/>
        <v>0.00107696855279765</v>
      </c>
      <c r="N45" s="403">
        <f t="shared" si="7"/>
        <v>0</v>
      </c>
      <c r="O45" s="177">
        <f t="shared" si="18"/>
        <v>7.815557856472618E-05</v>
      </c>
      <c r="P45" s="174">
        <f t="shared" si="33"/>
        <v>2.4582167846081425E-06</v>
      </c>
      <c r="Q45" s="179">
        <f t="shared" si="27"/>
        <v>3.620586275643208E-05</v>
      </c>
      <c r="R45" s="179">
        <f t="shared" si="28"/>
        <v>0.010859512988979116</v>
      </c>
      <c r="S45" s="180">
        <f t="shared" si="29"/>
        <v>0.0033340226944961492</v>
      </c>
      <c r="T45" s="179">
        <f t="shared" si="30"/>
        <v>0.9891404870110211</v>
      </c>
      <c r="U45" s="181">
        <f t="shared" si="31"/>
        <v>0.003620586275643208</v>
      </c>
    </row>
    <row r="46" spans="1:21" ht="12.75">
      <c r="A46" s="91">
        <f t="shared" si="19"/>
        <v>1984.299999999996</v>
      </c>
      <c r="B46" s="171">
        <f t="shared" si="13"/>
        <v>67.92964413906819</v>
      </c>
      <c r="C46" s="171">
        <f t="shared" si="14"/>
        <v>0.7432220650241838</v>
      </c>
      <c r="D46" s="172">
        <f t="shared" si="15"/>
        <v>0.0025603393402495516</v>
      </c>
      <c r="E46" s="171">
        <f t="shared" si="32"/>
        <v>68.67542654343262</v>
      </c>
      <c r="F46" s="171"/>
      <c r="G46" s="171">
        <f t="shared" si="1"/>
        <v>0.20517127056983214</v>
      </c>
      <c r="H46" s="171">
        <f t="shared" si="2"/>
        <v>0.2051677825611732</v>
      </c>
      <c r="I46" s="91">
        <f t="shared" si="23"/>
        <v>0.10815722574468414</v>
      </c>
      <c r="J46" s="91">
        <f t="shared" si="24"/>
        <v>29.745695056150083</v>
      </c>
      <c r="K46" s="172">
        <f t="shared" si="17"/>
        <v>0.010888630914957105</v>
      </c>
      <c r="L46" s="177">
        <f t="shared" si="25"/>
        <v>0.025265246587867322</v>
      </c>
      <c r="M46" s="178">
        <f t="shared" si="26"/>
        <v>0.0011089712447168003</v>
      </c>
      <c r="N46" s="403">
        <f t="shared" si="7"/>
        <v>0</v>
      </c>
      <c r="O46" s="177">
        <f t="shared" si="18"/>
        <v>8.02603255327742E-05</v>
      </c>
      <c r="P46" s="174">
        <f>O35*$Y$6+O24*$Y$7+O13*$Y$8</f>
        <v>2.5265246587867324E-06</v>
      </c>
      <c r="Q46" s="179">
        <f t="shared" si="27"/>
        <v>3.728173917682634E-05</v>
      </c>
      <c r="R46" s="179">
        <f t="shared" si="28"/>
        <v>0.010859523440932337</v>
      </c>
      <c r="S46" s="180">
        <f t="shared" si="29"/>
        <v>0.00343309164344191</v>
      </c>
      <c r="T46" s="179">
        <f t="shared" si="30"/>
        <v>0.9891404765590677</v>
      </c>
      <c r="U46" s="181">
        <f t="shared" si="31"/>
        <v>0.003728173917682634</v>
      </c>
    </row>
    <row r="47" spans="1:21" ht="12.75">
      <c r="A47" s="91">
        <f t="shared" si="19"/>
        <v>1984.399999999996</v>
      </c>
      <c r="B47" s="171">
        <f t="shared" si="13"/>
        <v>67.75251342905644</v>
      </c>
      <c r="C47" s="171">
        <f t="shared" si="14"/>
        <v>0.7412087471768578</v>
      </c>
      <c r="D47" s="172">
        <f t="shared" si="15"/>
        <v>0.0026295207084572614</v>
      </c>
      <c r="E47" s="171">
        <f t="shared" si="32"/>
        <v>68.49635169694174</v>
      </c>
      <c r="F47" s="171"/>
      <c r="G47" s="171">
        <f t="shared" si="1"/>
        <v>0.20463627551219835</v>
      </c>
      <c r="H47" s="171">
        <f t="shared" si="2"/>
        <v>0.20463269325618416</v>
      </c>
      <c r="I47" s="91">
        <f t="shared" si="23"/>
        <v>0.10828812043001192</v>
      </c>
      <c r="J47" s="91">
        <f t="shared" si="24"/>
        <v>29.745695056150083</v>
      </c>
      <c r="K47" s="172">
        <f t="shared" si="17"/>
        <v>0.01088750528994595</v>
      </c>
      <c r="L47" s="177">
        <f t="shared" si="25"/>
        <v>0.025967221581793196</v>
      </c>
      <c r="M47" s="178">
        <f t="shared" si="26"/>
        <v>0.001141913681529606</v>
      </c>
      <c r="N47" s="403">
        <f t="shared" si="7"/>
        <v>0</v>
      </c>
      <c r="O47" s="177">
        <f t="shared" si="18"/>
        <v>8.242118985508597E-05</v>
      </c>
      <c r="P47" s="174">
        <f aca="true" t="shared" si="34" ref="P47:P56">O36*$Y$6+O25*$Y$7+O14*$Y$8+O3*$Y$9</f>
        <v>2.5967221581793196E-06</v>
      </c>
      <c r="Q47" s="179">
        <f t="shared" si="27"/>
        <v>3.838920823245343E-05</v>
      </c>
      <c r="R47" s="179">
        <f t="shared" si="28"/>
        <v>0.010859531193374877</v>
      </c>
      <c r="S47" s="180">
        <f t="shared" si="29"/>
        <v>0.0035350704877457053</v>
      </c>
      <c r="T47" s="179">
        <f t="shared" si="30"/>
        <v>0.9891404688066252</v>
      </c>
      <c r="U47" s="181">
        <f t="shared" si="31"/>
        <v>0.003838920823245343</v>
      </c>
    </row>
    <row r="48" spans="1:21" ht="12.75">
      <c r="A48" s="91">
        <f t="shared" si="19"/>
        <v>1984.499999999996</v>
      </c>
      <c r="B48" s="171">
        <f t="shared" si="13"/>
        <v>67.57625360862157</v>
      </c>
      <c r="C48" s="171">
        <f t="shared" si="14"/>
        <v>0.7392029715887637</v>
      </c>
      <c r="D48" s="172">
        <f t="shared" si="15"/>
        <v>0.0027005608527718053</v>
      </c>
      <c r="E48" s="171">
        <f t="shared" si="32"/>
        <v>68.31815714106311</v>
      </c>
      <c r="F48" s="171"/>
      <c r="G48" s="171">
        <f t="shared" si="1"/>
        <v>0.20410391036678313</v>
      </c>
      <c r="H48" s="171">
        <f t="shared" si="2"/>
        <v>0.2041002313311606</v>
      </c>
      <c r="I48" s="91">
        <f t="shared" si="23"/>
        <v>0.10841917352748949</v>
      </c>
      <c r="J48" s="91">
        <f t="shared" si="24"/>
        <v>29.745695056150083</v>
      </c>
      <c r="K48" s="172">
        <f t="shared" si="17"/>
        <v>0.010886670463590424</v>
      </c>
      <c r="L48" s="177">
        <f t="shared" si="25"/>
        <v>0.3623036332788148</v>
      </c>
      <c r="M48" s="178">
        <f t="shared" si="26"/>
        <v>0.0011758229871637418</v>
      </c>
      <c r="N48" s="403">
        <f t="shared" si="7"/>
        <v>0</v>
      </c>
      <c r="O48" s="177">
        <f t="shared" si="18"/>
        <v>8.463964092706728E-05</v>
      </c>
      <c r="P48" s="174">
        <f t="shared" si="34"/>
        <v>3.6230363327881484E-05</v>
      </c>
      <c r="Q48" s="179">
        <f t="shared" si="27"/>
        <v>3.952918178392453E-05</v>
      </c>
      <c r="R48" s="179">
        <f t="shared" si="28"/>
        <v>0.010859536666213867</v>
      </c>
      <c r="S48" s="180">
        <f t="shared" si="29"/>
        <v>0.003640043125127752</v>
      </c>
      <c r="T48" s="179">
        <f t="shared" si="30"/>
        <v>0.989140463333786</v>
      </c>
      <c r="U48" s="181">
        <f t="shared" si="31"/>
        <v>0.003952918178392453</v>
      </c>
    </row>
    <row r="49" spans="1:21" ht="12.75">
      <c r="A49" s="91">
        <f t="shared" si="19"/>
        <v>1984.5999999999958</v>
      </c>
      <c r="B49" s="171">
        <f t="shared" si="13"/>
        <v>67.40086116412186</v>
      </c>
      <c r="C49" s="171">
        <f t="shared" si="14"/>
        <v>0.7372046757668598</v>
      </c>
      <c r="D49" s="172">
        <f t="shared" si="15"/>
        <v>0.0027399476444141865</v>
      </c>
      <c r="E49" s="171">
        <f t="shared" si="32"/>
        <v>68.14080578753314</v>
      </c>
      <c r="F49" s="171"/>
      <c r="G49" s="171">
        <f t="shared" si="1"/>
        <v>0.20357406433054465</v>
      </c>
      <c r="H49" s="171">
        <f t="shared" si="2"/>
        <v>0.20357033163739785</v>
      </c>
      <c r="I49" s="91">
        <f t="shared" si="23"/>
        <v>0.10855038522883137</v>
      </c>
      <c r="J49" s="91">
        <f t="shared" si="24"/>
        <v>29.745695056150083</v>
      </c>
      <c r="K49" s="172">
        <f t="shared" si="17"/>
        <v>0.010886081155785427</v>
      </c>
      <c r="L49" s="177">
        <f t="shared" si="25"/>
        <v>0.038260504353413514</v>
      </c>
      <c r="M49" s="178">
        <f t="shared" si="26"/>
        <v>0.0011960769491732729</v>
      </c>
      <c r="N49" s="403">
        <f t="shared" si="7"/>
        <v>0</v>
      </c>
      <c r="O49" s="177">
        <f t="shared" si="18"/>
        <v>8.691718461738148E-05</v>
      </c>
      <c r="P49" s="174">
        <f t="shared" si="34"/>
        <v>3.826050435341351E-06</v>
      </c>
      <c r="Q49" s="179">
        <f t="shared" si="27"/>
        <v>4.021008575914845E-05</v>
      </c>
      <c r="R49" s="179">
        <f t="shared" si="28"/>
        <v>0.010859053027909045</v>
      </c>
      <c r="S49" s="180">
        <f t="shared" si="29"/>
        <v>0.0037029090525484854</v>
      </c>
      <c r="T49" s="179">
        <f t="shared" si="30"/>
        <v>0.9891409469720909</v>
      </c>
      <c r="U49" s="181">
        <f t="shared" si="31"/>
        <v>0.004021008575914845</v>
      </c>
    </row>
    <row r="50" spans="1:21" ht="12.75">
      <c r="A50" s="91">
        <f t="shared" si="19"/>
        <v>1984.6999999999957</v>
      </c>
      <c r="B50" s="171">
        <f t="shared" si="13"/>
        <v>67.22632688621515</v>
      </c>
      <c r="C50" s="171">
        <f t="shared" si="14"/>
        <v>0.7352205865431513</v>
      </c>
      <c r="D50" s="172">
        <f t="shared" si="15"/>
        <v>0.0028128321090674095</v>
      </c>
      <c r="E50" s="171">
        <f t="shared" si="32"/>
        <v>67.96436030486737</v>
      </c>
      <c r="F50" s="171"/>
      <c r="G50" s="171">
        <f t="shared" si="1"/>
        <v>0.20304692462880652</v>
      </c>
      <c r="H50" s="171">
        <f t="shared" si="2"/>
        <v>0.20304309264349177</v>
      </c>
      <c r="I50" s="91">
        <f t="shared" si="23"/>
        <v>0.10868175572598407</v>
      </c>
      <c r="J50" s="91">
        <f t="shared" si="24"/>
        <v>29.745695056150083</v>
      </c>
      <c r="K50" s="172">
        <f t="shared" si="17"/>
        <v>0.010938280648410362</v>
      </c>
      <c r="L50" s="177">
        <f t="shared" si="25"/>
        <v>0.03905570702073405</v>
      </c>
      <c r="M50" s="178">
        <f t="shared" si="26"/>
        <v>0.0012310811988099375</v>
      </c>
      <c r="N50" s="403">
        <f t="shared" si="7"/>
        <v>0</v>
      </c>
      <c r="O50" s="177">
        <f t="shared" si="18"/>
        <v>8.817535195074976E-05</v>
      </c>
      <c r="P50" s="174">
        <f t="shared" si="34"/>
        <v>3.905570702073405E-06</v>
      </c>
      <c r="Q50" s="179">
        <f t="shared" si="27"/>
        <v>4.138686947761891E-05</v>
      </c>
      <c r="R50" s="179">
        <f t="shared" si="28"/>
        <v>0.010859124037092766</v>
      </c>
      <c r="S50" s="180">
        <f t="shared" si="29"/>
        <v>0.0038112530381132943</v>
      </c>
      <c r="T50" s="179">
        <f t="shared" si="30"/>
        <v>0.9891408759629072</v>
      </c>
      <c r="U50" s="181">
        <f t="shared" si="31"/>
        <v>0.0041386869477618915</v>
      </c>
    </row>
    <row r="51" spans="1:21" ht="12.75">
      <c r="A51" s="91">
        <f t="shared" si="19"/>
        <v>1984.7999999999956</v>
      </c>
      <c r="B51" s="171">
        <f t="shared" si="13"/>
        <v>67.05265384321358</v>
      </c>
      <c r="C51" s="171">
        <f t="shared" si="14"/>
        <v>0.7332430661939712</v>
      </c>
      <c r="D51" s="172">
        <f t="shared" si="15"/>
        <v>0.0028876683531781455</v>
      </c>
      <c r="E51" s="171">
        <f t="shared" si="32"/>
        <v>67.78878457776074</v>
      </c>
      <c r="F51" s="171"/>
      <c r="G51" s="171">
        <f t="shared" si="1"/>
        <v>0.20252238336528913</v>
      </c>
      <c r="H51" s="171">
        <f t="shared" si="2"/>
        <v>0.2025184494288527</v>
      </c>
      <c r="I51" s="91">
        <f t="shared" si="23"/>
        <v>0.10881328521112642</v>
      </c>
      <c r="J51" s="91">
        <f t="shared" si="24"/>
        <v>29.745695056150083</v>
      </c>
      <c r="K51" s="172">
        <f t="shared" si="17"/>
        <v>0.010930601091522872</v>
      </c>
      <c r="L51" s="177">
        <f t="shared" si="25"/>
        <v>0.040134745669636256</v>
      </c>
      <c r="M51" s="178">
        <f t="shared" si="26"/>
        <v>0.0012671078673552698</v>
      </c>
      <c r="N51" s="403">
        <f t="shared" si="7"/>
        <v>0</v>
      </c>
      <c r="O51" s="177">
        <f t="shared" si="18"/>
        <v>9.051162410712881E-05</v>
      </c>
      <c r="P51" s="174">
        <f t="shared" si="34"/>
        <v>4.013474566963625E-06</v>
      </c>
      <c r="Q51" s="179">
        <f t="shared" si="27"/>
        <v>4.259802519199458E-05</v>
      </c>
      <c r="R51" s="179">
        <f t="shared" si="28"/>
        <v>0.01085918178253707</v>
      </c>
      <c r="S51" s="180">
        <f t="shared" si="29"/>
        <v>0.003922765641560358</v>
      </c>
      <c r="T51" s="179">
        <f t="shared" si="30"/>
        <v>0.9891408182174628</v>
      </c>
      <c r="U51" s="181">
        <f t="shared" si="31"/>
        <v>0.004259802519199459</v>
      </c>
    </row>
    <row r="52" spans="1:21" ht="12.75">
      <c r="A52" s="91">
        <f t="shared" si="19"/>
        <v>1984.8999999999955</v>
      </c>
      <c r="B52" s="171">
        <f t="shared" si="13"/>
        <v>66.87983843418534</v>
      </c>
      <c r="C52" s="171">
        <f t="shared" si="14"/>
        <v>0.7312721817472263</v>
      </c>
      <c r="D52" s="172">
        <f t="shared" si="15"/>
        <v>0.0029644817357870864</v>
      </c>
      <c r="E52" s="171">
        <f t="shared" si="32"/>
        <v>67.61407509766836</v>
      </c>
      <c r="F52" s="171"/>
      <c r="G52" s="171">
        <f t="shared" si="1"/>
        <v>0.20200043005803914</v>
      </c>
      <c r="H52" s="171">
        <f t="shared" si="2"/>
        <v>0.20199639147698029</v>
      </c>
      <c r="I52" s="91">
        <f t="shared" si="23"/>
        <v>0.10894497387666979</v>
      </c>
      <c r="J52" s="91">
        <f t="shared" si="24"/>
        <v>29.745695056150083</v>
      </c>
      <c r="K52" s="172">
        <f t="shared" si="17"/>
        <v>0.010924359923244267</v>
      </c>
      <c r="L52" s="177">
        <f t="shared" si="25"/>
        <v>0.041243503799979694</v>
      </c>
      <c r="M52" s="178">
        <f t="shared" si="26"/>
        <v>0.0013041747533316479</v>
      </c>
      <c r="N52" s="403">
        <f t="shared" si="7"/>
        <v>0</v>
      </c>
      <c r="O52" s="177">
        <f t="shared" si="18"/>
        <v>9.290980578580818E-05</v>
      </c>
      <c r="P52" s="174">
        <f t="shared" si="34"/>
        <v>4.1243503799979695E-06</v>
      </c>
      <c r="Q52" s="179">
        <f t="shared" si="27"/>
        <v>4.384415125851977E-05</v>
      </c>
      <c r="R52" s="179">
        <f t="shared" si="28"/>
        <v>0.010859228088566033</v>
      </c>
      <c r="S52" s="180">
        <f t="shared" si="29"/>
        <v>0.004037501643849292</v>
      </c>
      <c r="T52" s="179">
        <f t="shared" si="30"/>
        <v>0.9891407719114339</v>
      </c>
      <c r="U52" s="181">
        <f t="shared" si="31"/>
        <v>0.004384415125851977</v>
      </c>
    </row>
    <row r="53" spans="1:23" ht="12.75">
      <c r="A53" s="91">
        <f t="shared" si="19"/>
        <v>1984.9999999999955</v>
      </c>
      <c r="B53" s="171">
        <f t="shared" si="13"/>
        <v>66.70787709464811</v>
      </c>
      <c r="C53" s="171">
        <f t="shared" si="14"/>
        <v>0.7293079779862907</v>
      </c>
      <c r="D53" s="172">
        <f t="shared" si="15"/>
        <v>0.003043323696212481</v>
      </c>
      <c r="E53" s="171">
        <f t="shared" si="32"/>
        <v>67.44022839633062</v>
      </c>
      <c r="F53" s="171"/>
      <c r="G53" s="171">
        <f t="shared" si="1"/>
        <v>0.2014810543454576</v>
      </c>
      <c r="H53" s="171">
        <f t="shared" si="2"/>
        <v>0.20147690835619844</v>
      </c>
      <c r="I53" s="91">
        <f t="shared" si="23"/>
        <v>0.10907682191525847</v>
      </c>
      <c r="J53" s="91">
        <f t="shared" si="24"/>
        <v>29.745695056150083</v>
      </c>
      <c r="K53" s="172">
        <f t="shared" si="17"/>
        <v>0.010919357681309886</v>
      </c>
      <c r="L53" s="177">
        <f t="shared" si="25"/>
        <v>0.0423827430402437</v>
      </c>
      <c r="M53" s="178">
        <f t="shared" si="26"/>
        <v>0.00134231126995438</v>
      </c>
      <c r="N53" s="403">
        <f t="shared" si="7"/>
        <v>0</v>
      </c>
      <c r="O53" s="177">
        <f t="shared" si="18"/>
        <v>9.537067172484849E-05</v>
      </c>
      <c r="P53" s="174">
        <f t="shared" si="34"/>
        <v>4.23827430402437E-06</v>
      </c>
      <c r="Q53" s="179">
        <f t="shared" si="27"/>
        <v>4.512623649978721E-05</v>
      </c>
      <c r="R53" s="179">
        <f t="shared" si="28"/>
        <v>0.010859264849736925</v>
      </c>
      <c r="S53" s="180">
        <f t="shared" si="29"/>
        <v>0.004155551699328931</v>
      </c>
      <c r="T53" s="179">
        <f t="shared" si="30"/>
        <v>0.9891407351502629</v>
      </c>
      <c r="U53" s="181">
        <f t="shared" si="31"/>
        <v>0.004512623649978721</v>
      </c>
      <c r="V53">
        <f>IF(ISNUMBER('Set-up'!$N$12)=FALSE,"",('Set-up'!$N$12-'EPP model'!U53)^2)</f>
      </c>
      <c r="W53" t="e">
        <f>IF(ISNUMBER('Set-up'!$N$12)=FALSE,NA()=FALSE,('Set-up'!$N$12))</f>
        <v>#N/A</v>
      </c>
    </row>
    <row r="54" spans="1:21" ht="12.75">
      <c r="A54" s="91">
        <f t="shared" si="19"/>
        <v>1985.0999999999954</v>
      </c>
      <c r="B54" s="171">
        <f t="shared" si="13"/>
        <v>66.53676629725898</v>
      </c>
      <c r="C54" s="171">
        <f t="shared" si="14"/>
        <v>0.7273504758656306</v>
      </c>
      <c r="D54" s="172">
        <f t="shared" si="15"/>
        <v>0.003124246992258416</v>
      </c>
      <c r="E54" s="171">
        <f aca="true" t="shared" si="35" ref="E54:E117">B54+C54+D54</f>
        <v>67.26724102011687</v>
      </c>
      <c r="F54" s="171"/>
      <c r="G54" s="171">
        <f t="shared" si="1"/>
        <v>0.20096424590965017</v>
      </c>
      <c r="H54" s="171">
        <f t="shared" si="2"/>
        <v>0.20095998967673978</v>
      </c>
      <c r="I54" s="91">
        <f t="shared" si="23"/>
        <v>0.10920882951976985</v>
      </c>
      <c r="J54" s="91">
        <f t="shared" si="24"/>
        <v>29.745695056150083</v>
      </c>
      <c r="K54" s="172">
        <f t="shared" si="17"/>
        <v>0.010915388142512309</v>
      </c>
      <c r="L54" s="177">
        <f aca="true" t="shared" si="36" ref="L54:L117">phi*P54</f>
        <v>0.04355329447729092</v>
      </c>
      <c r="M54" s="178">
        <f aca="true" t="shared" si="37" ref="M54:M117">MIN(1,J54*D54/E54)</f>
        <v>0.0013815476434364316</v>
      </c>
      <c r="N54" s="403">
        <f t="shared" si="7"/>
        <v>0</v>
      </c>
      <c r="O54" s="177">
        <f t="shared" si="18"/>
        <v>9.789583181186388E-05</v>
      </c>
      <c r="P54" s="174">
        <f t="shared" si="34"/>
        <v>4.355329447729092E-06</v>
      </c>
      <c r="Q54" s="179">
        <f aca="true" t="shared" si="38" ref="Q54:Q117">D54/E54</f>
        <v>4.6445297069997E-05</v>
      </c>
      <c r="R54" s="179">
        <f aca="true" t="shared" si="39" ref="R54:R117">(C54+D54)/E54</f>
        <v>0.010859293643980939</v>
      </c>
      <c r="S54" s="180">
        <f aca="true" t="shared" si="40" ref="S54:S117">D54/(C54+D54)</f>
        <v>0.004277009038773031</v>
      </c>
      <c r="T54" s="179">
        <f aca="true" t="shared" si="41" ref="T54:T117">B54/E54</f>
        <v>0.989140706356019</v>
      </c>
      <c r="U54" s="181">
        <f aca="true" t="shared" si="42" ref="U54:U117">Q54*100</f>
        <v>0.0046445297069997</v>
      </c>
    </row>
    <row r="55" spans="1:21" ht="12.75">
      <c r="A55" s="91">
        <f t="shared" si="19"/>
        <v>1985.1999999999953</v>
      </c>
      <c r="B55" s="171">
        <f t="shared" si="13"/>
        <v>66.36650254796213</v>
      </c>
      <c r="C55" s="171">
        <f t="shared" si="14"/>
        <v>0.7253996762701138</v>
      </c>
      <c r="D55" s="172">
        <f t="shared" si="15"/>
        <v>0.003207305725405988</v>
      </c>
      <c r="E55" s="171">
        <f t="shared" si="35"/>
        <v>67.09510952995765</v>
      </c>
      <c r="F55" s="171"/>
      <c r="G55" s="171">
        <f t="shared" si="1"/>
        <v>0.20044999447622502</v>
      </c>
      <c r="H55" s="171">
        <f t="shared" si="2"/>
        <v>0.20044562509050867</v>
      </c>
      <c r="I55" s="91">
        <f t="shared" si="23"/>
        <v>0.10934099688331474</v>
      </c>
      <c r="J55" s="91">
        <f t="shared" si="24"/>
        <v>29.745695056150083</v>
      </c>
      <c r="K55" s="172">
        <f t="shared" si="17"/>
        <v>0.010912279883885241</v>
      </c>
      <c r="L55" s="177">
        <f t="shared" si="36"/>
        <v>0.044756011239661136</v>
      </c>
      <c r="M55" s="178">
        <f t="shared" si="37"/>
        <v>0.001421914931328542</v>
      </c>
      <c r="N55" s="403">
        <f t="shared" si="7"/>
        <v>0</v>
      </c>
      <c r="O55" s="177">
        <f t="shared" si="18"/>
        <v>0.00010048693358845292</v>
      </c>
      <c r="P55" s="174">
        <f t="shared" si="34"/>
        <v>4.475601123966114E-06</v>
      </c>
      <c r="Q55" s="179">
        <f t="shared" si="38"/>
        <v>4.7802377071520256E-05</v>
      </c>
      <c r="R55" s="179">
        <f t="shared" si="39"/>
        <v>0.010859315784710064</v>
      </c>
      <c r="S55" s="180">
        <f t="shared" si="40"/>
        <v>0.004401969518081986</v>
      </c>
      <c r="T55" s="179">
        <f t="shared" si="41"/>
        <v>0.9891406842152899</v>
      </c>
      <c r="U55" s="181">
        <f t="shared" si="42"/>
        <v>0.004780237707152026</v>
      </c>
    </row>
    <row r="56" spans="1:21" ht="12.75">
      <c r="A56" s="91">
        <f t="shared" si="19"/>
        <v>1985.2999999999952</v>
      </c>
      <c r="B56" s="171">
        <f t="shared" si="13"/>
        <v>66.19708238276837</v>
      </c>
      <c r="C56" s="171">
        <f t="shared" si="14"/>
        <v>0.723455563141815</v>
      </c>
      <c r="D56" s="172">
        <f t="shared" si="15"/>
        <v>0.0032925553714774737</v>
      </c>
      <c r="E56" s="171">
        <f t="shared" si="35"/>
        <v>66.92383050128166</v>
      </c>
      <c r="F56" s="171"/>
      <c r="G56" s="171">
        <f t="shared" si="1"/>
        <v>0.19993828981410405</v>
      </c>
      <c r="H56" s="171">
        <f t="shared" si="2"/>
        <v>0.19993380429085125</v>
      </c>
      <c r="I56" s="91">
        <f t="shared" si="23"/>
        <v>0.10947332419923768</v>
      </c>
      <c r="J56" s="91">
        <f t="shared" si="24"/>
        <v>29.745695056150083</v>
      </c>
      <c r="K56" s="172">
        <f t="shared" si="17"/>
        <v>0.010909890449013896</v>
      </c>
      <c r="L56" s="177">
        <f t="shared" si="36"/>
        <v>0.04599176907135085</v>
      </c>
      <c r="M56" s="178">
        <f t="shared" si="37"/>
        <v>0.001463445043445059</v>
      </c>
      <c r="N56" s="403">
        <f t="shared" si="7"/>
        <v>0</v>
      </c>
      <c r="O56" s="177">
        <f t="shared" si="18"/>
        <v>0.00010314566308693656</v>
      </c>
      <c r="P56" s="174">
        <f t="shared" si="34"/>
        <v>4.599176907135085E-06</v>
      </c>
      <c r="Q56" s="179">
        <f t="shared" si="38"/>
        <v>4.9198549258390376E-05</v>
      </c>
      <c r="R56" s="179">
        <f t="shared" si="39"/>
        <v>0.010859332364416507</v>
      </c>
      <c r="S56" s="180">
        <f t="shared" si="40"/>
        <v>0.0045305316761095294</v>
      </c>
      <c r="T56" s="179">
        <f t="shared" si="41"/>
        <v>0.9891406676355836</v>
      </c>
      <c r="U56" s="181">
        <f t="shared" si="42"/>
        <v>0.004919854925839038</v>
      </c>
    </row>
    <row r="57" spans="1:21" ht="12.75">
      <c r="A57" s="91">
        <f t="shared" si="19"/>
        <v>1985.399999999995</v>
      </c>
      <c r="B57" s="171">
        <f t="shared" si="13"/>
        <v>66.02850236506076</v>
      </c>
      <c r="C57" s="171">
        <f t="shared" si="14"/>
        <v>0.7215181060803526</v>
      </c>
      <c r="D57" s="172">
        <f t="shared" si="15"/>
        <v>0.003380052812087719</v>
      </c>
      <c r="E57" s="171">
        <f t="shared" si="35"/>
        <v>66.7534005239532</v>
      </c>
      <c r="F57" s="171"/>
      <c r="G57" s="171">
        <f t="shared" si="1"/>
        <v>0.19942912173533642</v>
      </c>
      <c r="H57" s="171">
        <f t="shared" si="2"/>
        <v>0.19942451701232533</v>
      </c>
      <c r="I57" s="91">
        <f t="shared" si="23"/>
        <v>0.1096058116611172</v>
      </c>
      <c r="J57" s="91">
        <f t="shared" si="24"/>
        <v>29.745695056150083</v>
      </c>
      <c r="K57" s="172">
        <f t="shared" si="17"/>
        <v>0.01090810150040503</v>
      </c>
      <c r="L57" s="177">
        <f t="shared" si="36"/>
        <v>0.04726146691922408</v>
      </c>
      <c r="M57" s="178">
        <f t="shared" si="37"/>
        <v>0.00150617076333012</v>
      </c>
      <c r="N57" s="403">
        <f t="shared" si="7"/>
        <v>0</v>
      </c>
      <c r="O57" s="177">
        <f t="shared" si="18"/>
        <v>0.00010587374580326433</v>
      </c>
      <c r="P57" s="174">
        <f>O46*$Y$6+O35*$Y$7+O24*$Y$8+O13*$Y$9</f>
        <v>4.726146691922408E-06</v>
      </c>
      <c r="Q57" s="179">
        <f t="shared" si="38"/>
        <v>5.063491575795978E-05</v>
      </c>
      <c r="R57" s="179">
        <f t="shared" si="39"/>
        <v>0.010859344291117038</v>
      </c>
      <c r="S57" s="180">
        <f t="shared" si="40"/>
        <v>0.004662796795141602</v>
      </c>
      <c r="T57" s="179">
        <f t="shared" si="41"/>
        <v>0.9891406557088829</v>
      </c>
      <c r="U57" s="181">
        <f t="shared" si="42"/>
        <v>0.005063491575795978</v>
      </c>
    </row>
    <row r="58" spans="1:21" ht="12.75">
      <c r="A58" s="91">
        <f t="shared" si="19"/>
        <v>1985.499999999995</v>
      </c>
      <c r="B58" s="171">
        <f t="shared" si="13"/>
        <v>65.86075908333773</v>
      </c>
      <c r="C58" s="171">
        <f t="shared" si="14"/>
        <v>0.7195872625049655</v>
      </c>
      <c r="D58" s="172">
        <f t="shared" si="15"/>
        <v>0.0034698563668673246</v>
      </c>
      <c r="E58" s="171">
        <f t="shared" si="35"/>
        <v>66.58381620220955</v>
      </c>
      <c r="F58" s="171"/>
      <c r="G58" s="171">
        <f t="shared" si="1"/>
        <v>0.19892248009491117</v>
      </c>
      <c r="H58" s="171">
        <f t="shared" si="2"/>
        <v>0.19891775303046988</v>
      </c>
      <c r="I58" s="91">
        <f t="shared" si="23"/>
        <v>0.10973845946276611</v>
      </c>
      <c r="J58" s="91">
        <f t="shared" si="24"/>
        <v>29.745695056150083</v>
      </c>
      <c r="K58" s="172">
        <f t="shared" si="17"/>
        <v>0.010906814790026502</v>
      </c>
      <c r="L58" s="177">
        <f t="shared" si="36"/>
        <v>0.04856602753194099</v>
      </c>
      <c r="M58" s="178">
        <f t="shared" si="37"/>
        <v>0.0015501257702626422</v>
      </c>
      <c r="N58" s="403">
        <f t="shared" si="7"/>
        <v>0</v>
      </c>
      <c r="O58" s="177">
        <f t="shared" si="18"/>
        <v>0.00010867294765915474</v>
      </c>
      <c r="P58" s="174">
        <f aca="true" t="shared" si="43" ref="P58:P67">O47*$Y$6+O36*$Y$7+O25*$Y$8+O14*$Y$9+O3*$Y$10</f>
        <v>4.856602753194099E-06</v>
      </c>
      <c r="Q58" s="179">
        <f t="shared" si="38"/>
        <v>5.2112608810670414E-05</v>
      </c>
      <c r="R58" s="179">
        <f t="shared" si="39"/>
        <v>0.010859352318827268</v>
      </c>
      <c r="S58" s="180">
        <f t="shared" si="40"/>
        <v>0.004798868963881098</v>
      </c>
      <c r="T58" s="179">
        <f t="shared" si="41"/>
        <v>0.9891406476811729</v>
      </c>
      <c r="U58" s="181">
        <f t="shared" si="42"/>
        <v>0.005211260881067041</v>
      </c>
    </row>
    <row r="59" spans="1:21" ht="12.75">
      <c r="A59" s="91">
        <f t="shared" si="19"/>
        <v>1985.599999999995</v>
      </c>
      <c r="B59" s="171">
        <f t="shared" si="13"/>
        <v>65.693849149321</v>
      </c>
      <c r="C59" s="171">
        <f t="shared" si="14"/>
        <v>0.7176629794513345</v>
      </c>
      <c r="D59" s="172">
        <f t="shared" si="15"/>
        <v>0.0035620258264451856</v>
      </c>
      <c r="E59" s="171">
        <f t="shared" si="35"/>
        <v>66.41507415459877</v>
      </c>
      <c r="F59" s="171"/>
      <c r="G59" s="171">
        <f t="shared" si="1"/>
        <v>0.19841835479057157</v>
      </c>
      <c r="H59" s="171">
        <f t="shared" si="2"/>
        <v>0.19841350216157405</v>
      </c>
      <c r="I59" s="91">
        <f t="shared" si="23"/>
        <v>0.10987126779823175</v>
      </c>
      <c r="J59" s="91">
        <f t="shared" si="24"/>
        <v>29.745695056150083</v>
      </c>
      <c r="K59" s="172">
        <f t="shared" si="17"/>
        <v>0.010905948806224973</v>
      </c>
      <c r="L59" s="177">
        <f t="shared" si="36"/>
        <v>0.4694251760973069</v>
      </c>
      <c r="M59" s="178">
        <f t="shared" si="37"/>
        <v>0.0015953446617996865</v>
      </c>
      <c r="N59" s="403">
        <f t="shared" si="7"/>
        <v>0</v>
      </c>
      <c r="O59" s="177">
        <f t="shared" si="18"/>
        <v>0.00011154507595616958</v>
      </c>
      <c r="P59" s="174">
        <f t="shared" si="43"/>
        <v>4.694251760973069E-05</v>
      </c>
      <c r="Q59" s="179">
        <f t="shared" si="38"/>
        <v>5.3632791527923647E-05</v>
      </c>
      <c r="R59" s="179">
        <f t="shared" si="39"/>
        <v>0.010859357073048453</v>
      </c>
      <c r="S59" s="180">
        <f t="shared" si="40"/>
        <v>0.004938855142818117</v>
      </c>
      <c r="T59" s="179">
        <f t="shared" si="41"/>
        <v>0.9891406429269517</v>
      </c>
      <c r="U59" s="181">
        <f t="shared" si="42"/>
        <v>0.005363279152792365</v>
      </c>
    </row>
    <row r="60" spans="1:21" ht="12.75">
      <c r="A60" s="91">
        <f t="shared" si="19"/>
        <v>1985.6999999999948</v>
      </c>
      <c r="B60" s="171">
        <f t="shared" si="13"/>
        <v>65.52776919636784</v>
      </c>
      <c r="C60" s="171">
        <f t="shared" si="14"/>
        <v>0.7157451950635696</v>
      </c>
      <c r="D60" s="172">
        <f t="shared" si="15"/>
        <v>0.0036146706083774595</v>
      </c>
      <c r="E60" s="171">
        <f t="shared" si="35"/>
        <v>66.24712906203979</v>
      </c>
      <c r="F60" s="171"/>
      <c r="G60" s="171">
        <f t="shared" si="1"/>
        <v>0.197916610429297</v>
      </c>
      <c r="H60" s="171">
        <f t="shared" si="2"/>
        <v>0.19791168608111273</v>
      </c>
      <c r="I60" s="91">
        <f t="shared" si="23"/>
        <v>0.11000423686179633</v>
      </c>
      <c r="J60" s="91">
        <f t="shared" si="24"/>
        <v>29.745695056150083</v>
      </c>
      <c r="K60" s="172">
        <f t="shared" si="17"/>
        <v>0.01090543597987257</v>
      </c>
      <c r="L60" s="177">
        <f t="shared" si="36"/>
        <v>0.06482174825323665</v>
      </c>
      <c r="M60" s="178">
        <f t="shared" si="37"/>
        <v>0.0016230271585736516</v>
      </c>
      <c r="N60" s="403">
        <f t="shared" si="7"/>
        <v>0</v>
      </c>
      <c r="O60" s="177">
        <f t="shared" si="18"/>
        <v>0.00011449198032389448</v>
      </c>
      <c r="P60" s="174">
        <f t="shared" si="43"/>
        <v>6.482174825323665E-06</v>
      </c>
      <c r="Q60" s="179">
        <f t="shared" si="38"/>
        <v>5.456343028831266E-05</v>
      </c>
      <c r="R60" s="179">
        <f t="shared" si="39"/>
        <v>0.010858732685582097</v>
      </c>
      <c r="S60" s="180">
        <f t="shared" si="40"/>
        <v>0.0050248433098238395</v>
      </c>
      <c r="T60" s="179">
        <f t="shared" si="41"/>
        <v>0.9891412673144179</v>
      </c>
      <c r="U60" s="181">
        <f t="shared" si="42"/>
        <v>0.005456343028831265</v>
      </c>
    </row>
    <row r="61" spans="1:21" ht="12.75">
      <c r="A61" s="91">
        <f t="shared" si="19"/>
        <v>1985.7999999999947</v>
      </c>
      <c r="B61" s="171">
        <f t="shared" si="13"/>
        <v>65.36250841398358</v>
      </c>
      <c r="C61" s="171">
        <f t="shared" si="14"/>
        <v>0.7138426521499456</v>
      </c>
      <c r="D61" s="172">
        <f t="shared" si="15"/>
        <v>0.0037092308588093374</v>
      </c>
      <c r="E61" s="171">
        <f t="shared" si="35"/>
        <v>66.08006029699233</v>
      </c>
      <c r="F61" s="171"/>
      <c r="G61" s="171">
        <f t="shared" si="1"/>
        <v>0.19741748414027946</v>
      </c>
      <c r="H61" s="171">
        <f t="shared" si="2"/>
        <v>0.19741243097051006</v>
      </c>
      <c r="I61" s="91">
        <f t="shared" si="23"/>
        <v>0.11013736684797716</v>
      </c>
      <c r="J61" s="91">
        <f t="shared" si="24"/>
        <v>29.745695056150083</v>
      </c>
      <c r="K61" s="172">
        <f t="shared" si="17"/>
        <v>0.010972991665529687</v>
      </c>
      <c r="L61" s="177">
        <f t="shared" si="36"/>
        <v>0.06607577060288641</v>
      </c>
      <c r="M61" s="178">
        <f t="shared" si="37"/>
        <v>0.001669696569935275</v>
      </c>
      <c r="N61" s="403">
        <f t="shared" si="7"/>
        <v>0</v>
      </c>
      <c r="O61" s="177">
        <f t="shared" si="18"/>
        <v>0.00011616738902067695</v>
      </c>
      <c r="P61" s="174">
        <f t="shared" si="43"/>
        <v>6.607577060288642E-06</v>
      </c>
      <c r="Q61" s="179">
        <f t="shared" si="38"/>
        <v>5.613237703080857E-05</v>
      </c>
      <c r="R61" s="179">
        <f t="shared" si="39"/>
        <v>0.01085882609343525</v>
      </c>
      <c r="S61" s="180">
        <f t="shared" si="40"/>
        <v>0.005169285938260273</v>
      </c>
      <c r="T61" s="179">
        <f t="shared" si="41"/>
        <v>0.9891411739065648</v>
      </c>
      <c r="U61" s="181">
        <f t="shared" si="42"/>
        <v>0.005613237703080857</v>
      </c>
    </row>
    <row r="62" spans="1:21" ht="12.75">
      <c r="A62" s="91">
        <f t="shared" si="19"/>
        <v>1985.8999999999946</v>
      </c>
      <c r="B62" s="171">
        <f t="shared" si="13"/>
        <v>65.19807208257335</v>
      </c>
      <c r="C62" s="171">
        <f t="shared" si="14"/>
        <v>0.7119453927047975</v>
      </c>
      <c r="D62" s="172">
        <f t="shared" si="15"/>
        <v>0.0038062927097549416</v>
      </c>
      <c r="E62" s="171">
        <f t="shared" si="35"/>
        <v>65.91382376798789</v>
      </c>
      <c r="F62" s="171"/>
      <c r="G62" s="171">
        <f t="shared" si="1"/>
        <v>0.19692084419805225</v>
      </c>
      <c r="H62" s="171">
        <f t="shared" si="2"/>
        <v>0.19691565879871029</v>
      </c>
      <c r="I62" s="91">
        <f t="shared" si="23"/>
        <v>0.11027065795152698</v>
      </c>
      <c r="J62" s="91">
        <f t="shared" si="24"/>
        <v>29.745695056150083</v>
      </c>
      <c r="K62" s="172">
        <f t="shared" si="17"/>
        <v>0.01096285912793653</v>
      </c>
      <c r="L62" s="177">
        <f t="shared" si="36"/>
        <v>0.06788763798043204</v>
      </c>
      <c r="M62" s="178">
        <f t="shared" si="37"/>
        <v>0.0017177098181611666</v>
      </c>
      <c r="N62" s="403">
        <f t="shared" si="7"/>
        <v>0</v>
      </c>
      <c r="O62" s="177">
        <f t="shared" si="18"/>
        <v>0.0001191900627768264</v>
      </c>
      <c r="P62" s="174">
        <f t="shared" si="43"/>
        <v>6.788763798043204E-06</v>
      </c>
      <c r="Q62" s="179">
        <f t="shared" si="38"/>
        <v>5.774650129770697E-05</v>
      </c>
      <c r="R62" s="179">
        <f t="shared" si="39"/>
        <v>0.010858900978555712</v>
      </c>
      <c r="S62" s="180">
        <f t="shared" si="40"/>
        <v>0.005317895559757425</v>
      </c>
      <c r="T62" s="179">
        <f t="shared" si="41"/>
        <v>0.9891410990214444</v>
      </c>
      <c r="U62" s="181">
        <f t="shared" si="42"/>
        <v>0.005774650129770697</v>
      </c>
    </row>
    <row r="63" spans="1:23" ht="12.75">
      <c r="A63" s="91">
        <f t="shared" si="19"/>
        <v>1985.9999999999945</v>
      </c>
      <c r="B63" s="171">
        <f t="shared" si="13"/>
        <v>65.03445669204109</v>
      </c>
      <c r="C63" s="171">
        <f t="shared" si="14"/>
        <v>0.7100535374337523</v>
      </c>
      <c r="D63" s="172">
        <f t="shared" si="15"/>
        <v>0.003905868731768338</v>
      </c>
      <c r="E63" s="171">
        <f t="shared" si="35"/>
        <v>65.7484160982066</v>
      </c>
      <c r="F63" s="171"/>
      <c r="G63" s="171">
        <f t="shared" si="1"/>
        <v>0.19642668051419718</v>
      </c>
      <c r="H63" s="171">
        <f t="shared" si="2"/>
        <v>0.1964213594601701</v>
      </c>
      <c r="I63" s="91">
        <f t="shared" si="23"/>
        <v>0.11040411036743421</v>
      </c>
      <c r="J63" s="91">
        <f t="shared" si="24"/>
        <v>29.745695056150083</v>
      </c>
      <c r="K63" s="172">
        <f t="shared" si="17"/>
        <v>0.01095474255063038</v>
      </c>
      <c r="L63" s="177">
        <f t="shared" si="36"/>
        <v>0.06974906657793427</v>
      </c>
      <c r="M63" s="178">
        <f t="shared" si="37"/>
        <v>0.0017670810510627907</v>
      </c>
      <c r="N63" s="403">
        <f t="shared" si="7"/>
        <v>0</v>
      </c>
      <c r="O63" s="177">
        <f t="shared" si="18"/>
        <v>0.0001222915591043638</v>
      </c>
      <c r="P63" s="174">
        <f t="shared" si="43"/>
        <v>6.974906657793427E-06</v>
      </c>
      <c r="Q63" s="179">
        <f t="shared" si="38"/>
        <v>5.9406278714520654E-05</v>
      </c>
      <c r="R63" s="179">
        <f t="shared" si="39"/>
        <v>0.010858959782378622</v>
      </c>
      <c r="S63" s="180">
        <f t="shared" si="40"/>
        <v>0.005470715418885904</v>
      </c>
      <c r="T63" s="179">
        <f t="shared" si="41"/>
        <v>0.9891410402176215</v>
      </c>
      <c r="U63" s="181">
        <f t="shared" si="42"/>
        <v>0.005940627871452065</v>
      </c>
      <c r="V63">
        <f>IF(ISNUMBER('Set-up'!$N$13)=FALSE,"",('Set-up'!$N$13-'EPP model'!U63)^2)</f>
      </c>
      <c r="W63" t="e">
        <f>IF(ISNUMBER('Set-up'!$N$13)=FALSE,NA()=FALSE,('Set-up'!$N$13))</f>
        <v>#N/A</v>
      </c>
    </row>
    <row r="64" spans="1:21" ht="12.75">
      <c r="A64" s="91">
        <f t="shared" si="19"/>
        <v>1986.0999999999945</v>
      </c>
      <c r="B64" s="171">
        <f t="shared" si="13"/>
        <v>64.8716587760795</v>
      </c>
      <c r="C64" s="171">
        <f t="shared" si="14"/>
        <v>0.7081671772941046</v>
      </c>
      <c r="D64" s="172">
        <f t="shared" si="15"/>
        <v>0.004008022608305719</v>
      </c>
      <c r="E64" s="171">
        <f t="shared" si="35"/>
        <v>65.5838339759819</v>
      </c>
      <c r="F64" s="171"/>
      <c r="G64" s="171">
        <f t="shared" si="1"/>
        <v>0.19593498319494476</v>
      </c>
      <c r="H64" s="171">
        <f t="shared" si="2"/>
        <v>0.19592952297436259</v>
      </c>
      <c r="I64" s="91">
        <f t="shared" si="23"/>
        <v>0.11053772429092326</v>
      </c>
      <c r="J64" s="91">
        <f t="shared" si="24"/>
        <v>29.745695056150083</v>
      </c>
      <c r="K64" s="172">
        <f t="shared" si="17"/>
        <v>0.01094837314344159</v>
      </c>
      <c r="L64" s="177">
        <f t="shared" si="36"/>
        <v>0.07166122334755408</v>
      </c>
      <c r="M64" s="178">
        <f t="shared" si="37"/>
        <v>0.0018178476471576582</v>
      </c>
      <c r="N64" s="403">
        <f t="shared" si="7"/>
        <v>0</v>
      </c>
      <c r="O64" s="177">
        <f t="shared" si="18"/>
        <v>0.00012547221512392877</v>
      </c>
      <c r="P64" s="174">
        <f t="shared" si="43"/>
        <v>7.1661223347554075E-06</v>
      </c>
      <c r="Q64" s="179">
        <f t="shared" si="38"/>
        <v>6.111296588384168E-05</v>
      </c>
      <c r="R64" s="179">
        <f t="shared" si="39"/>
        <v>0.010859005287236226</v>
      </c>
      <c r="S64" s="180">
        <f t="shared" si="40"/>
        <v>0.00562786040409009</v>
      </c>
      <c r="T64" s="179">
        <f t="shared" si="41"/>
        <v>0.9891409947127638</v>
      </c>
      <c r="U64" s="181">
        <f t="shared" si="42"/>
        <v>0.006111296588384168</v>
      </c>
    </row>
    <row r="65" spans="1:21" ht="12.75">
      <c r="A65" s="91">
        <f t="shared" si="19"/>
        <v>1986.1999999999944</v>
      </c>
      <c r="B65" s="171">
        <f t="shared" si="13"/>
        <v>64.70967491604367</v>
      </c>
      <c r="C65" s="171">
        <f t="shared" si="14"/>
        <v>0.7062863679269155</v>
      </c>
      <c r="D65" s="172">
        <f t="shared" si="15"/>
        <v>0.004112819612523971</v>
      </c>
      <c r="E65" s="171">
        <f t="shared" si="35"/>
        <v>65.42007410358312</v>
      </c>
      <c r="F65" s="171"/>
      <c r="G65" s="171">
        <f t="shared" si="1"/>
        <v>0.1954457423881598</v>
      </c>
      <c r="H65" s="171">
        <f t="shared" si="2"/>
        <v>0.1954401394002293</v>
      </c>
      <c r="I65" s="91">
        <f t="shared" si="23"/>
        <v>0.1106714999174548</v>
      </c>
      <c r="J65" s="91">
        <f t="shared" si="24"/>
        <v>29.745695056150083</v>
      </c>
      <c r="K65" s="172">
        <f t="shared" si="17"/>
        <v>0.010943446743494345</v>
      </c>
      <c r="L65" s="177">
        <f t="shared" si="36"/>
        <v>0.07362547777217596</v>
      </c>
      <c r="M65" s="178">
        <f t="shared" si="37"/>
        <v>0.0018700479889610943</v>
      </c>
      <c r="N65" s="403">
        <f t="shared" si="7"/>
        <v>0</v>
      </c>
      <c r="O65" s="177">
        <f t="shared" si="18"/>
        <v>0.00012873400370383683</v>
      </c>
      <c r="P65" s="174">
        <f t="shared" si="43"/>
        <v>7.362547777217595E-06</v>
      </c>
      <c r="Q65" s="179">
        <f t="shared" si="38"/>
        <v>6.286785316097201E-05</v>
      </c>
      <c r="R65" s="179">
        <f t="shared" si="39"/>
        <v>0.010859039786696454</v>
      </c>
      <c r="S65" s="180">
        <f t="shared" si="40"/>
        <v>0.005789448643331449</v>
      </c>
      <c r="T65" s="179">
        <f t="shared" si="41"/>
        <v>0.9891409602133033</v>
      </c>
      <c r="U65" s="181">
        <f t="shared" si="42"/>
        <v>0.006286785316097201</v>
      </c>
    </row>
    <row r="66" spans="1:21" ht="12.75">
      <c r="A66" s="91">
        <f t="shared" si="19"/>
        <v>1986.2999999999943</v>
      </c>
      <c r="B66" s="171">
        <f t="shared" si="13"/>
        <v>64.5485017349217</v>
      </c>
      <c r="C66" s="171">
        <f t="shared" si="14"/>
        <v>0.7044111355924757</v>
      </c>
      <c r="D66" s="172">
        <f t="shared" si="15"/>
        <v>0.0042203266228606085</v>
      </c>
      <c r="E66" s="171">
        <f t="shared" si="35"/>
        <v>65.25713319713704</v>
      </c>
      <c r="F66" s="171"/>
      <c r="G66" s="171">
        <f t="shared" si="1"/>
        <v>0.19495894828310678</v>
      </c>
      <c r="H66" s="171">
        <f t="shared" si="2"/>
        <v>0.19495319883592502</v>
      </c>
      <c r="I66" s="91">
        <f t="shared" si="23"/>
        <v>0.11080543744272606</v>
      </c>
      <c r="J66" s="91">
        <f t="shared" si="24"/>
        <v>29.745695056150083</v>
      </c>
      <c r="K66" s="172">
        <f t="shared" si="17"/>
        <v>0.010939713259582103</v>
      </c>
      <c r="L66" s="177">
        <f t="shared" si="36"/>
        <v>0.0756432349701421</v>
      </c>
      <c r="M66" s="178">
        <f t="shared" si="37"/>
        <v>0.0019237214785658239</v>
      </c>
      <c r="N66" s="403">
        <f t="shared" si="7"/>
        <v>0</v>
      </c>
      <c r="O66" s="177">
        <f t="shared" si="18"/>
        <v>0.00013207894019723638</v>
      </c>
      <c r="P66" s="174">
        <f t="shared" si="43"/>
        <v>7.5643234970142096E-06</v>
      </c>
      <c r="Q66" s="179">
        <f t="shared" si="38"/>
        <v>6.467226517768272E-05</v>
      </c>
      <c r="R66" s="179">
        <f t="shared" si="39"/>
        <v>0.010859065170310385</v>
      </c>
      <c r="S66" s="180">
        <f t="shared" si="40"/>
        <v>0.005955601533224263</v>
      </c>
      <c r="T66" s="179">
        <f t="shared" si="41"/>
        <v>0.9891409348296896</v>
      </c>
      <c r="U66" s="181">
        <f t="shared" si="42"/>
        <v>0.006467226517768271</v>
      </c>
    </row>
    <row r="67" spans="1:21" ht="12.75">
      <c r="A67" s="91">
        <f t="shared" si="19"/>
        <v>1986.3999999999942</v>
      </c>
      <c r="B67" s="171">
        <f t="shared" si="13"/>
        <v>64.3881358923585</v>
      </c>
      <c r="C67" s="171">
        <f t="shared" si="14"/>
        <v>0.7025414820523475</v>
      </c>
      <c r="D67" s="172">
        <f t="shared" si="15"/>
        <v>0.004330612155923954</v>
      </c>
      <c r="E67" s="171">
        <f t="shared" si="35"/>
        <v>65.09500798656678</v>
      </c>
      <c r="F67" s="171"/>
      <c r="G67" s="171">
        <f aca="true" t="shared" si="44" ref="G67:G130">E67*b*Solution_interval</f>
        <v>0.19447459111026763</v>
      </c>
      <c r="H67" s="171">
        <f aca="true" t="shared" si="45" ref="H67:H130">b*(B67+C67+(1-v)*e*D67)*Solution_interval</f>
        <v>0.19446869141858963</v>
      </c>
      <c r="I67" s="91">
        <f aca="true" t="shared" si="46" ref="I67:I98">I68/(1+gr*Solution_interval)</f>
        <v>0.1109395370626711</v>
      </c>
      <c r="J67" s="91">
        <f t="shared" si="24"/>
        <v>29.745695056150083</v>
      </c>
      <c r="K67" s="172">
        <f t="shared" si="17"/>
        <v>0.010936967084379537</v>
      </c>
      <c r="L67" s="177">
        <f t="shared" si="36"/>
        <v>0.07771593660531392</v>
      </c>
      <c r="M67" s="178">
        <f t="shared" si="37"/>
        <v>0.0019789085612087753</v>
      </c>
      <c r="N67" s="403">
        <f aca="true" t="shared" si="47" ref="N67:N130">IF(ROUND(A67,1)=t0,0.01,0)</f>
        <v>0</v>
      </c>
      <c r="O67" s="177">
        <f t="shared" si="18"/>
        <v>0.00013550908312801884</v>
      </c>
      <c r="P67" s="174">
        <f t="shared" si="43"/>
        <v>7.771593660531393E-06</v>
      </c>
      <c r="Q67" s="179">
        <f t="shared" si="38"/>
        <v>6.65275616344902E-05</v>
      </c>
      <c r="R67" s="179">
        <f t="shared" si="39"/>
        <v>0.010859082993801058</v>
      </c>
      <c r="S67" s="180">
        <f t="shared" si="40"/>
        <v>0.006126443795711633</v>
      </c>
      <c r="T67" s="179">
        <f t="shared" si="41"/>
        <v>0.9891409170061988</v>
      </c>
      <c r="U67" s="181">
        <f t="shared" si="42"/>
        <v>0.00665275616344902</v>
      </c>
    </row>
    <row r="68" spans="1:21" ht="12.75">
      <c r="A68" s="91">
        <f t="shared" si="19"/>
        <v>1986.499999999994</v>
      </c>
      <c r="B68" s="171">
        <f aca="true" t="shared" si="48" ref="B68:B131">MAX(0,B67+(1-K68)*I68-B67*mu*Solution_interval)</f>
        <v>64.22857408054516</v>
      </c>
      <c r="C68" s="171">
        <f aca="true" t="shared" si="49" ref="C68:C131">MAX(0,C67+K68*I68-(mu+M67+N67)*C67*Solution_interval)</f>
        <v>0.7006773885849821</v>
      </c>
      <c r="D68" s="172">
        <f aca="true" t="shared" si="50" ref="D68:D131">MAX(0,D67-P67+((M67+N67)*C67-mu*D67)*Solution_interval)</f>
        <v>0.0044437464003076335</v>
      </c>
      <c r="E68" s="171">
        <f t="shared" si="35"/>
        <v>64.93369521553045</v>
      </c>
      <c r="F68" s="171"/>
      <c r="G68" s="171">
        <f t="shared" si="44"/>
        <v>0.193992661141158</v>
      </c>
      <c r="H68" s="171">
        <f t="shared" si="45"/>
        <v>0.19398660732411946</v>
      </c>
      <c r="I68" s="91">
        <f t="shared" si="46"/>
        <v>0.1110737989734611</v>
      </c>
      <c r="J68" s="91">
        <f t="shared" si="24"/>
        <v>29.745695056150083</v>
      </c>
      <c r="K68" s="172">
        <f aca="true" t="shared" si="51" ref="K68:K131">EXP(phi*((B67/E67)-(1-fo)))/(EXP(phi*((B67/E67)-(1-fo)))+1/fo-1)</f>
        <v>0.010935039223080553</v>
      </c>
      <c r="L68" s="177">
        <f t="shared" si="36"/>
        <v>0.07984506183090727</v>
      </c>
      <c r="M68" s="178">
        <f t="shared" si="37"/>
        <v>0.0020356507494555917</v>
      </c>
      <c r="N68" s="403">
        <f t="shared" si="47"/>
        <v>0</v>
      </c>
      <c r="O68" s="177">
        <f aca="true" t="shared" si="52" ref="O68:O131">(M67+N67)*C67*Solution_interval</f>
        <v>0.00013902653534376917</v>
      </c>
      <c r="P68" s="174">
        <f>O57*$Y$6+O46*$Y$7+O35*$Y$8+O24*$Y$9+O13*$Y$10</f>
        <v>7.984506183090726E-06</v>
      </c>
      <c r="Q68" s="179">
        <f t="shared" si="38"/>
        <v>6.843513811369856E-05</v>
      </c>
      <c r="R68" s="179">
        <f t="shared" si="39"/>
        <v>0.010859094537047741</v>
      </c>
      <c r="S68" s="180">
        <f t="shared" si="40"/>
        <v>0.006302103539132094</v>
      </c>
      <c r="T68" s="179">
        <f t="shared" si="41"/>
        <v>0.9891409054629522</v>
      </c>
      <c r="U68" s="181">
        <f t="shared" si="42"/>
        <v>0.006843513811369856</v>
      </c>
    </row>
    <row r="69" spans="1:21" ht="12.75">
      <c r="A69" s="91">
        <f aca="true" t="shared" si="53" ref="A69:A132">0.1+A68</f>
        <v>1986.599999999994</v>
      </c>
      <c r="B69" s="171">
        <f t="shared" si="48"/>
        <v>64.06981302081921</v>
      </c>
      <c r="C69" s="171">
        <f t="shared" si="49"/>
        <v>0.698818819289799</v>
      </c>
      <c r="D69" s="172">
        <f t="shared" si="50"/>
        <v>0.004559801251273401</v>
      </c>
      <c r="E69" s="171">
        <f t="shared" si="35"/>
        <v>64.77319164136028</v>
      </c>
      <c r="F69" s="171"/>
      <c r="G69" s="171">
        <f t="shared" si="44"/>
        <v>0.19351314868814595</v>
      </c>
      <c r="H69" s="171">
        <f t="shared" si="45"/>
        <v>0.19350693676693786</v>
      </c>
      <c r="I69" s="91">
        <f t="shared" si="46"/>
        <v>0.11120822337150467</v>
      </c>
      <c r="J69" s="91">
        <f t="shared" si="24"/>
        <v>29.745695056150083</v>
      </c>
      <c r="K69" s="172">
        <f t="shared" si="51"/>
        <v>0.010933790837863675</v>
      </c>
      <c r="L69" s="177">
        <f t="shared" si="36"/>
        <v>0.08203212824800425</v>
      </c>
      <c r="M69" s="178">
        <f t="shared" si="37"/>
        <v>0.0020939906479831715</v>
      </c>
      <c r="N69" s="403">
        <f t="shared" si="47"/>
        <v>0</v>
      </c>
      <c r="O69" s="177">
        <f t="shared" si="52"/>
        <v>0.00014263344511996059</v>
      </c>
      <c r="P69" s="174">
        <f aca="true" t="shared" si="54" ref="P69:P78">O58*$Y$6+O47*$Y$7+O36*$Y$8+O25*$Y$9+O14*$Y$10+O3*$Y$11</f>
        <v>8.203212824800425E-06</v>
      </c>
      <c r="Q69" s="179">
        <f t="shared" si="38"/>
        <v>7.039642691254672E-05</v>
      </c>
      <c r="R69" s="179">
        <f t="shared" si="39"/>
        <v>0.010859100852024975</v>
      </c>
      <c r="S69" s="180">
        <f t="shared" si="40"/>
        <v>0.006482712323223279</v>
      </c>
      <c r="T69" s="179">
        <f t="shared" si="41"/>
        <v>0.989140899147975</v>
      </c>
      <c r="U69" s="181">
        <f t="shared" si="42"/>
        <v>0.007039642691254672</v>
      </c>
    </row>
    <row r="70" spans="1:21" ht="12.75">
      <c r="A70" s="91">
        <f t="shared" si="53"/>
        <v>1986.699999999994</v>
      </c>
      <c r="B70" s="171">
        <f t="shared" si="48"/>
        <v>63.911849460849915</v>
      </c>
      <c r="C70" s="171">
        <f t="shared" si="49"/>
        <v>0.6969657238056214</v>
      </c>
      <c r="D70" s="172">
        <f t="shared" si="50"/>
        <v>0.004678850346255772</v>
      </c>
      <c r="E70" s="171">
        <f t="shared" si="35"/>
        <v>64.61349403500179</v>
      </c>
      <c r="F70" s="171"/>
      <c r="G70" s="171">
        <f t="shared" si="44"/>
        <v>0.19303604410426964</v>
      </c>
      <c r="H70" s="171">
        <f t="shared" si="45"/>
        <v>0.19302966999976512</v>
      </c>
      <c r="I70" s="91">
        <f t="shared" si="46"/>
        <v>0.1113428104534481</v>
      </c>
      <c r="J70" s="91">
        <f t="shared" si="24"/>
        <v>29.745695056150083</v>
      </c>
      <c r="K70" s="172">
        <f t="shared" si="51"/>
        <v>0.010933107941970575</v>
      </c>
      <c r="L70" s="177">
        <f t="shared" si="36"/>
        <v>0.5877012265114159</v>
      </c>
      <c r="M70" s="178">
        <f t="shared" si="37"/>
        <v>0.0021539719789444222</v>
      </c>
      <c r="N70" s="403">
        <f t="shared" si="47"/>
        <v>0</v>
      </c>
      <c r="O70" s="177">
        <f t="shared" si="52"/>
        <v>0.0001463320072227481</v>
      </c>
      <c r="P70" s="174">
        <f t="shared" si="54"/>
        <v>5.8770122651141584E-05</v>
      </c>
      <c r="Q70" s="179">
        <f t="shared" si="38"/>
        <v>7.241289789592853E-05</v>
      </c>
      <c r="R70" s="179">
        <f t="shared" si="39"/>
        <v>0.010859102802454687</v>
      </c>
      <c r="S70" s="180">
        <f t="shared" si="40"/>
        <v>0.006668405227691526</v>
      </c>
      <c r="T70" s="179">
        <f t="shared" si="41"/>
        <v>0.9891408971975453</v>
      </c>
      <c r="U70" s="181">
        <f t="shared" si="42"/>
        <v>0.0072412897895928535</v>
      </c>
    </row>
    <row r="71" spans="1:21" ht="12.75">
      <c r="A71" s="91">
        <f t="shared" si="53"/>
        <v>1986.7999999999938</v>
      </c>
      <c r="B71" s="171">
        <f t="shared" si="48"/>
        <v>63.75468017230549</v>
      </c>
      <c r="C71" s="171">
        <f t="shared" si="49"/>
        <v>0.695118039546416</v>
      </c>
      <c r="D71" s="172">
        <f t="shared" si="50"/>
        <v>0.004750626847784749</v>
      </c>
      <c r="E71" s="171">
        <f t="shared" si="35"/>
        <v>64.4545488386997</v>
      </c>
      <c r="F71" s="171"/>
      <c r="G71" s="171">
        <f t="shared" si="44"/>
        <v>0.1925611873830573</v>
      </c>
      <c r="H71" s="171">
        <f t="shared" si="45"/>
        <v>0.1925547154957883</v>
      </c>
      <c r="I71" s="91">
        <f t="shared" si="46"/>
        <v>0.11147756041617567</v>
      </c>
      <c r="J71" s="91">
        <f t="shared" si="24"/>
        <v>29.745695056150083</v>
      </c>
      <c r="K71" s="172">
        <f t="shared" si="51"/>
        <v>0.01093289703280147</v>
      </c>
      <c r="L71" s="177">
        <f t="shared" si="36"/>
        <v>0.10283219018544924</v>
      </c>
      <c r="M71" s="178">
        <f t="shared" si="37"/>
        <v>0.0021924084503857255</v>
      </c>
      <c r="N71" s="403">
        <f t="shared" si="47"/>
        <v>0</v>
      </c>
      <c r="O71" s="177">
        <f t="shared" si="52"/>
        <v>0.0001501244639362026</v>
      </c>
      <c r="P71" s="174">
        <f t="shared" si="54"/>
        <v>1.0283219018544924E-05</v>
      </c>
      <c r="Q71" s="179">
        <f t="shared" si="38"/>
        <v>7.370506711129727E-05</v>
      </c>
      <c r="R71" s="179">
        <f t="shared" si="39"/>
        <v>0.010858328527683167</v>
      </c>
      <c r="S71" s="180">
        <f t="shared" si="40"/>
        <v>0.0067878833213958455</v>
      </c>
      <c r="T71" s="179">
        <f t="shared" si="41"/>
        <v>0.9891416714723168</v>
      </c>
      <c r="U71" s="181">
        <f t="shared" si="42"/>
        <v>0.007370506711129727</v>
      </c>
    </row>
    <row r="72" spans="1:21" ht="12.75">
      <c r="A72" s="91">
        <f t="shared" si="53"/>
        <v>1986.8999999999937</v>
      </c>
      <c r="B72" s="171">
        <f t="shared" si="48"/>
        <v>63.59829258925768</v>
      </c>
      <c r="C72" s="171">
        <f t="shared" si="49"/>
        <v>0.6932866680389425</v>
      </c>
      <c r="D72" s="172">
        <f t="shared" si="50"/>
        <v>0.004872863719049695</v>
      </c>
      <c r="E72" s="171">
        <f t="shared" si="35"/>
        <v>64.29645212101566</v>
      </c>
      <c r="F72" s="171"/>
      <c r="G72" s="171">
        <f t="shared" si="44"/>
        <v>0.19208886553414037</v>
      </c>
      <c r="H72" s="171">
        <f t="shared" si="45"/>
        <v>0.19208222712079462</v>
      </c>
      <c r="I72" s="91">
        <f t="shared" si="46"/>
        <v>0.11161247345680994</v>
      </c>
      <c r="J72" s="91">
        <f t="shared" si="24"/>
        <v>29.745695056150083</v>
      </c>
      <c r="K72" s="172">
        <f t="shared" si="51"/>
        <v>0.011016940047100757</v>
      </c>
      <c r="L72" s="177">
        <f t="shared" si="36"/>
        <v>0.1047125730871065</v>
      </c>
      <c r="M72" s="178">
        <f t="shared" si="37"/>
        <v>0.0022543501772728913</v>
      </c>
      <c r="N72" s="403">
        <f t="shared" si="47"/>
        <v>0</v>
      </c>
      <c r="O72" s="177">
        <f t="shared" si="52"/>
        <v>0.00015239826639171217</v>
      </c>
      <c r="P72" s="174">
        <f t="shared" si="54"/>
        <v>1.0471257308710651E-05</v>
      </c>
      <c r="Q72" s="179">
        <f t="shared" si="38"/>
        <v>7.578744329279985E-05</v>
      </c>
      <c r="R72" s="179">
        <f t="shared" si="39"/>
        <v>0.010858445664217214</v>
      </c>
      <c r="S72" s="180">
        <f t="shared" si="40"/>
        <v>0.00697958489054735</v>
      </c>
      <c r="T72" s="179">
        <f t="shared" si="41"/>
        <v>0.989141554335783</v>
      </c>
      <c r="U72" s="181">
        <f t="shared" si="42"/>
        <v>0.0075787443292799845</v>
      </c>
    </row>
    <row r="73" spans="1:23" ht="12.75">
      <c r="A73" s="91">
        <f t="shared" si="53"/>
        <v>1986.9999999999936</v>
      </c>
      <c r="B73" s="171">
        <f t="shared" si="48"/>
        <v>63.44269439656445</v>
      </c>
      <c r="C73" s="171">
        <f t="shared" si="49"/>
        <v>0.6914591295077485</v>
      </c>
      <c r="D73" s="172">
        <f t="shared" si="50"/>
        <v>0.00499829389889339</v>
      </c>
      <c r="E73" s="171">
        <f t="shared" si="35"/>
        <v>64.13915181997109</v>
      </c>
      <c r="F73" s="171"/>
      <c r="G73" s="171">
        <f t="shared" si="44"/>
        <v>0.19161892301975467</v>
      </c>
      <c r="H73" s="171">
        <f t="shared" si="45"/>
        <v>0.1916121137300151</v>
      </c>
      <c r="I73" s="91">
        <f t="shared" si="46"/>
        <v>0.11174754977271203</v>
      </c>
      <c r="J73" s="91">
        <f t="shared" si="24"/>
        <v>29.745695056150083</v>
      </c>
      <c r="K73" s="172">
        <f t="shared" si="51"/>
        <v>0.011004184664944086</v>
      </c>
      <c r="L73" s="177">
        <f t="shared" si="36"/>
        <v>0.10755953656891049</v>
      </c>
      <c r="M73" s="178">
        <f t="shared" si="37"/>
        <v>0.0023180494580722576</v>
      </c>
      <c r="N73" s="403">
        <f t="shared" si="47"/>
        <v>0</v>
      </c>
      <c r="O73" s="177">
        <f t="shared" si="52"/>
        <v>0.0001562910922994522</v>
      </c>
      <c r="P73" s="174">
        <f t="shared" si="54"/>
        <v>1.0755953656891049E-05</v>
      </c>
      <c r="Q73" s="179">
        <f t="shared" si="38"/>
        <v>7.792890546670848E-05</v>
      </c>
      <c r="R73" s="179">
        <f t="shared" si="39"/>
        <v>0.01085853809482066</v>
      </c>
      <c r="S73" s="180">
        <f t="shared" si="40"/>
        <v>0.007176740071840727</v>
      </c>
      <c r="T73" s="179">
        <f t="shared" si="41"/>
        <v>0.9891414619051794</v>
      </c>
      <c r="U73" s="181">
        <f t="shared" si="42"/>
        <v>0.007792890546670848</v>
      </c>
      <c r="V73">
        <f>IF(ISNUMBER('Set-up'!$N$14)=FALSE,"",('Set-up'!$N$14-'EPP model'!U73)^2)</f>
      </c>
      <c r="W73" t="e">
        <f>IF(ISNUMBER('Set-up'!$N$14)=FALSE,NA()=FALSE,('Set-up'!$N$14))</f>
        <v>#N/A</v>
      </c>
    </row>
    <row r="74" spans="1:21" ht="12.75">
      <c r="A74" s="91">
        <f t="shared" si="53"/>
        <v>1987.0999999999935</v>
      </c>
      <c r="B74" s="171">
        <f t="shared" si="48"/>
        <v>63.28788215412757</v>
      </c>
      <c r="C74" s="171">
        <f t="shared" si="49"/>
        <v>0.6896356086902902</v>
      </c>
      <c r="D74" s="172">
        <f t="shared" si="50"/>
        <v>0.00512690709524683</v>
      </c>
      <c r="E74" s="171">
        <f t="shared" si="35"/>
        <v>63.98264466991311</v>
      </c>
      <c r="F74" s="171"/>
      <c r="G74" s="171">
        <f t="shared" si="44"/>
        <v>0.19115135008359893</v>
      </c>
      <c r="H74" s="171">
        <f t="shared" si="45"/>
        <v>0.1911443655811696</v>
      </c>
      <c r="I74" s="91">
        <f t="shared" si="46"/>
        <v>0.11188278956148193</v>
      </c>
      <c r="J74" s="91">
        <f t="shared" si="24"/>
        <v>29.745695056150083</v>
      </c>
      <c r="K74" s="172">
        <f t="shared" si="51"/>
        <v>0.010994129902061441</v>
      </c>
      <c r="L74" s="177">
        <f t="shared" si="36"/>
        <v>0.11048378526632524</v>
      </c>
      <c r="M74" s="178">
        <f t="shared" si="37"/>
        <v>0.0023835122137134306</v>
      </c>
      <c r="N74" s="403">
        <f t="shared" si="47"/>
        <v>0</v>
      </c>
      <c r="O74" s="177">
        <f t="shared" si="52"/>
        <v>0.00016028364604345514</v>
      </c>
      <c r="P74" s="174">
        <f t="shared" si="54"/>
        <v>1.1048378526632524E-05</v>
      </c>
      <c r="Q74" s="179">
        <f t="shared" si="38"/>
        <v>8.012965268467064E-05</v>
      </c>
      <c r="R74" s="179">
        <f t="shared" si="39"/>
        <v>0.010858608914492696</v>
      </c>
      <c r="S74" s="180">
        <f t="shared" si="40"/>
        <v>0.007379366299648542</v>
      </c>
      <c r="T74" s="179">
        <f t="shared" si="41"/>
        <v>0.9891413910855074</v>
      </c>
      <c r="U74" s="181">
        <f t="shared" si="42"/>
        <v>0.008012965268467063</v>
      </c>
    </row>
    <row r="75" spans="1:21" ht="12.75">
      <c r="A75" s="91">
        <f t="shared" si="53"/>
        <v>1987.1999999999935</v>
      </c>
      <c r="B75" s="171">
        <f t="shared" si="48"/>
        <v>63.13385247383733</v>
      </c>
      <c r="C75" s="171">
        <f t="shared" si="49"/>
        <v>0.6878162525928768</v>
      </c>
      <c r="D75" s="172">
        <f t="shared" si="50"/>
        <v>0.005258781550651625</v>
      </c>
      <c r="E75" s="171">
        <f t="shared" si="35"/>
        <v>63.826927507980855</v>
      </c>
      <c r="F75" s="171"/>
      <c r="G75" s="171">
        <f t="shared" si="44"/>
        <v>0.19068613727646821</v>
      </c>
      <c r="H75" s="171">
        <f t="shared" si="45"/>
        <v>0.19067897311846158</v>
      </c>
      <c r="I75" s="91">
        <f t="shared" si="46"/>
        <v>0.11201819302095872</v>
      </c>
      <c r="J75" s="91">
        <f t="shared" si="24"/>
        <v>29.745695056150083</v>
      </c>
      <c r="K75" s="172">
        <f t="shared" si="51"/>
        <v>0.010986432161837584</v>
      </c>
      <c r="L75" s="177">
        <f t="shared" si="36"/>
        <v>0.11348692516725732</v>
      </c>
      <c r="M75" s="178">
        <f t="shared" si="37"/>
        <v>0.00245078556151762</v>
      </c>
      <c r="N75" s="403">
        <f t="shared" si="47"/>
        <v>0</v>
      </c>
      <c r="O75" s="177">
        <f t="shared" si="52"/>
        <v>0.00016437548963250026</v>
      </c>
      <c r="P75" s="174">
        <f t="shared" si="54"/>
        <v>1.1348692516725733E-05</v>
      </c>
      <c r="Q75" s="179">
        <f t="shared" si="38"/>
        <v>8.239126895140099E-05</v>
      </c>
      <c r="R75" s="179">
        <f t="shared" si="39"/>
        <v>0.010858662028763127</v>
      </c>
      <c r="S75" s="180">
        <f t="shared" si="40"/>
        <v>0.00758760782250683</v>
      </c>
      <c r="T75" s="179">
        <f t="shared" si="41"/>
        <v>0.9891413379712369</v>
      </c>
      <c r="U75" s="181">
        <f t="shared" si="42"/>
        <v>0.008239126895140099</v>
      </c>
    </row>
    <row r="76" spans="1:21" ht="12.75">
      <c r="A76" s="91">
        <f t="shared" si="53"/>
        <v>1987.2999999999934</v>
      </c>
      <c r="B76" s="171">
        <f t="shared" si="48"/>
        <v>62.98060202912129</v>
      </c>
      <c r="C76" s="171">
        <f t="shared" si="49"/>
        <v>0.6860011580533916</v>
      </c>
      <c r="D76" s="172">
        <f t="shared" si="50"/>
        <v>0.005393997410674804</v>
      </c>
      <c r="E76" s="171">
        <f t="shared" si="35"/>
        <v>63.671997184585365</v>
      </c>
      <c r="F76" s="171"/>
      <c r="G76" s="171">
        <f t="shared" si="44"/>
        <v>0.19022327518880802</v>
      </c>
      <c r="H76" s="171">
        <f t="shared" si="45"/>
        <v>0.19021592682315233</v>
      </c>
      <c r="I76" s="91">
        <f t="shared" si="46"/>
        <v>0.11215376034922098</v>
      </c>
      <c r="J76" s="91">
        <f t="shared" si="24"/>
        <v>29.745695056150083</v>
      </c>
      <c r="K76" s="172">
        <f t="shared" si="51"/>
        <v>0.010980662407120442</v>
      </c>
      <c r="L76" s="177">
        <f t="shared" si="36"/>
        <v>0.11657106143744464</v>
      </c>
      <c r="M76" s="178">
        <f t="shared" si="37"/>
        <v>0.0025199178478170856</v>
      </c>
      <c r="N76" s="403">
        <f t="shared" si="47"/>
        <v>0</v>
      </c>
      <c r="O76" s="177">
        <f t="shared" si="52"/>
        <v>0.0001685690140831779</v>
      </c>
      <c r="P76" s="174">
        <f t="shared" si="54"/>
        <v>1.1657106143744465E-05</v>
      </c>
      <c r="Q76" s="179">
        <f t="shared" si="38"/>
        <v>8.471537958888874E-05</v>
      </c>
      <c r="R76" s="179">
        <f t="shared" si="39"/>
        <v>0.01085870062249986</v>
      </c>
      <c r="S76" s="180">
        <f t="shared" si="40"/>
        <v>0.007801612967702006</v>
      </c>
      <c r="T76" s="179">
        <f t="shared" si="41"/>
        <v>0.9891412993775001</v>
      </c>
      <c r="U76" s="181">
        <f t="shared" si="42"/>
        <v>0.008471537958888874</v>
      </c>
    </row>
    <row r="77" spans="1:21" ht="12.75">
      <c r="A77" s="91">
        <f t="shared" si="53"/>
        <v>1987.3999999999933</v>
      </c>
      <c r="B77" s="171">
        <f t="shared" si="48"/>
        <v>62.828127545902724</v>
      </c>
      <c r="C77" s="171">
        <f t="shared" si="49"/>
        <v>0.6841903806898412</v>
      </c>
      <c r="D77" s="172">
        <f t="shared" si="50"/>
        <v>0.005532636711796274</v>
      </c>
      <c r="E77" s="171">
        <f t="shared" si="35"/>
        <v>63.517850563304364</v>
      </c>
      <c r="F77" s="171"/>
      <c r="G77" s="171">
        <f t="shared" si="44"/>
        <v>0.18976275445039997</v>
      </c>
      <c r="H77" s="171">
        <f t="shared" si="45"/>
        <v>0.18975521721326338</v>
      </c>
      <c r="I77" s="91">
        <f t="shared" si="46"/>
        <v>0.11228949174458694</v>
      </c>
      <c r="J77" s="91">
        <f t="shared" si="24"/>
        <v>29.745695056150083</v>
      </c>
      <c r="K77" s="172">
        <f t="shared" si="51"/>
        <v>0.010976471884474728</v>
      </c>
      <c r="L77" s="177">
        <f t="shared" si="36"/>
        <v>0.11973835272034668</v>
      </c>
      <c r="M77" s="178">
        <f t="shared" si="37"/>
        <v>0.0025909586521907554</v>
      </c>
      <c r="N77" s="403">
        <f t="shared" si="47"/>
        <v>0</v>
      </c>
      <c r="O77" s="177">
        <f t="shared" si="52"/>
        <v>0.00017286665618019312</v>
      </c>
      <c r="P77" s="174">
        <f t="shared" si="54"/>
        <v>1.1973835272034668E-05</v>
      </c>
      <c r="Q77" s="179">
        <f t="shared" si="38"/>
        <v>8.710365137879206E-05</v>
      </c>
      <c r="R77" s="179">
        <f t="shared" si="39"/>
        <v>0.010858727291381383</v>
      </c>
      <c r="S77" s="180">
        <f t="shared" si="40"/>
        <v>0.008021534111822349</v>
      </c>
      <c r="T77" s="179">
        <f t="shared" si="41"/>
        <v>0.9891412727086186</v>
      </c>
      <c r="U77" s="181">
        <f t="shared" si="42"/>
        <v>0.008710365137879206</v>
      </c>
    </row>
    <row r="78" spans="1:21" ht="12.75">
      <c r="A78" s="91">
        <f t="shared" si="53"/>
        <v>1987.4999999999932</v>
      </c>
      <c r="B78" s="171">
        <f t="shared" si="48"/>
        <v>62.67642579523298</v>
      </c>
      <c r="C78" s="171">
        <f t="shared" si="49"/>
        <v>0.6823839421750424</v>
      </c>
      <c r="D78" s="172">
        <f t="shared" si="50"/>
        <v>0.005674783414099993</v>
      </c>
      <c r="E78" s="171">
        <f t="shared" si="35"/>
        <v>63.364484520822124</v>
      </c>
      <c r="F78" s="171"/>
      <c r="G78" s="171">
        <f t="shared" si="44"/>
        <v>0.18930456573018217</v>
      </c>
      <c r="H78" s="171">
        <f t="shared" si="45"/>
        <v>0.18929683484335208</v>
      </c>
      <c r="I78" s="91">
        <f t="shared" si="46"/>
        <v>0.11242538740561489</v>
      </c>
      <c r="J78" s="91">
        <f t="shared" si="24"/>
        <v>29.745695056150083</v>
      </c>
      <c r="K78" s="172">
        <f t="shared" si="51"/>
        <v>0.010973577091200748</v>
      </c>
      <c r="L78" s="177">
        <f t="shared" si="36"/>
        <v>0.12299101245207891</v>
      </c>
      <c r="M78" s="178">
        <f t="shared" si="37"/>
        <v>0.00266395881260657</v>
      </c>
      <c r="N78" s="403">
        <f t="shared" si="47"/>
        <v>0</v>
      </c>
      <c r="O78" s="177">
        <f t="shared" si="52"/>
        <v>0.00017727089865940307</v>
      </c>
      <c r="P78" s="174">
        <f t="shared" si="54"/>
        <v>1.2299101245207891E-05</v>
      </c>
      <c r="Q78" s="179">
        <f t="shared" si="38"/>
        <v>8.955779340768108E-05</v>
      </c>
      <c r="R78" s="179">
        <f t="shared" si="39"/>
        <v>0.010858744149698563</v>
      </c>
      <c r="S78" s="180">
        <f t="shared" si="40"/>
        <v>0.008247527722638827</v>
      </c>
      <c r="T78" s="179">
        <f t="shared" si="41"/>
        <v>0.9891412558503014</v>
      </c>
      <c r="U78" s="181">
        <f t="shared" si="42"/>
        <v>0.008955779340768107</v>
      </c>
    </row>
    <row r="79" spans="1:21" ht="12.75">
      <c r="A79" s="91">
        <f t="shared" si="53"/>
        <v>1987.599999999993</v>
      </c>
      <c r="B79" s="171">
        <f t="shared" si="48"/>
        <v>62.525493587283414</v>
      </c>
      <c r="C79" s="171">
        <f t="shared" si="49"/>
        <v>0.6805818361507949</v>
      </c>
      <c r="D79" s="172">
        <f t="shared" si="50"/>
        <v>0.005820523435122898</v>
      </c>
      <c r="E79" s="171">
        <f t="shared" si="35"/>
        <v>63.21189594686933</v>
      </c>
      <c r="F79" s="171"/>
      <c r="G79" s="171">
        <f t="shared" si="44"/>
        <v>0.18884869973606952</v>
      </c>
      <c r="H79" s="171">
        <f t="shared" si="45"/>
        <v>0.1888407703042859</v>
      </c>
      <c r="I79" s="91">
        <f t="shared" si="46"/>
        <v>0.1125614475311034</v>
      </c>
      <c r="J79" s="91">
        <f t="shared" si="24"/>
        <v>29.745695056150083</v>
      </c>
      <c r="K79" s="172">
        <f t="shared" si="51"/>
        <v>0.010971747582283437</v>
      </c>
      <c r="L79" s="177">
        <f t="shared" si="36"/>
        <v>0.12633131027696734</v>
      </c>
      <c r="M79" s="178">
        <f t="shared" si="37"/>
        <v>0.00273897045128759</v>
      </c>
      <c r="N79" s="403">
        <f t="shared" si="47"/>
        <v>0</v>
      </c>
      <c r="O79" s="177">
        <f t="shared" si="52"/>
        <v>0.00018178427163384163</v>
      </c>
      <c r="P79" s="174">
        <f>O68*$Y$6+O57*$Y$7+O46*$Y$8+O35*$Y$9+O24*$Y$10+O13*$Y$11</f>
        <v>1.2633131027696735E-05</v>
      </c>
      <c r="Q79" s="179">
        <f t="shared" si="38"/>
        <v>9.207955793661286E-05</v>
      </c>
      <c r="R79" s="179">
        <f t="shared" si="39"/>
        <v>0.010858752918324908</v>
      </c>
      <c r="S79" s="180">
        <f t="shared" si="40"/>
        <v>0.008479754409111025</v>
      </c>
      <c r="T79" s="179">
        <f t="shared" si="41"/>
        <v>0.9891412470816751</v>
      </c>
      <c r="U79" s="181">
        <f t="shared" si="42"/>
        <v>0.009207955793661286</v>
      </c>
    </row>
    <row r="80" spans="1:21" ht="12.75">
      <c r="A80" s="91">
        <f t="shared" si="53"/>
        <v>1987.699999999993</v>
      </c>
      <c r="B80" s="171">
        <f t="shared" si="48"/>
        <v>62.37532776643828</v>
      </c>
      <c r="C80" s="171">
        <f t="shared" si="49"/>
        <v>0.6787840330401209</v>
      </c>
      <c r="D80" s="172">
        <f t="shared" si="50"/>
        <v>0.0059699446847169225</v>
      </c>
      <c r="E80" s="171">
        <f t="shared" si="35"/>
        <v>63.06008174416312</v>
      </c>
      <c r="F80" s="171"/>
      <c r="G80" s="171">
        <f t="shared" si="44"/>
        <v>0.18839514721477457</v>
      </c>
      <c r="H80" s="171">
        <f t="shared" si="45"/>
        <v>0.18838701422301585</v>
      </c>
      <c r="I80" s="91">
        <f t="shared" si="46"/>
        <v>0.11269767232009163</v>
      </c>
      <c r="J80" s="91">
        <f t="shared" si="24"/>
        <v>29.745695056150083</v>
      </c>
      <c r="K80" s="172">
        <f t="shared" si="51"/>
        <v>0.010970796107137639</v>
      </c>
      <c r="L80" s="177">
        <f t="shared" si="36"/>
        <v>0.1297615734760636</v>
      </c>
      <c r="M80" s="178">
        <f t="shared" si="37"/>
        <v>0.0028160470012411707</v>
      </c>
      <c r="N80" s="403">
        <f t="shared" si="47"/>
        <v>0</v>
      </c>
      <c r="O80" s="177">
        <f t="shared" si="52"/>
        <v>0.00018640935389000797</v>
      </c>
      <c r="P80" s="174">
        <f aca="true" t="shared" si="55" ref="P80:P89">O69*$Y$6+O58*$Y$7+O47*$Y$8+O36*$Y$9+O25*$Y$10+O14*$Y$11+O3*$Y$12</f>
        <v>1.2976157347606359E-05</v>
      </c>
      <c r="Q80" s="179">
        <f t="shared" si="38"/>
        <v>9.46707412929972E-05</v>
      </c>
      <c r="R80" s="179">
        <f t="shared" si="39"/>
        <v>0.010858754996590518</v>
      </c>
      <c r="S80" s="180">
        <f t="shared" si="40"/>
        <v>0.008718378978319554</v>
      </c>
      <c r="T80" s="179">
        <f t="shared" si="41"/>
        <v>0.9891412450034095</v>
      </c>
      <c r="U80" s="181">
        <f t="shared" si="42"/>
        <v>0.009467074129299721</v>
      </c>
    </row>
    <row r="81" spans="1:21" ht="12.75">
      <c r="A81" s="91">
        <f t="shared" si="53"/>
        <v>1987.799999999993</v>
      </c>
      <c r="B81" s="171">
        <f t="shared" si="48"/>
        <v>62.22592520728196</v>
      </c>
      <c r="C81" s="171">
        <f t="shared" si="49"/>
        <v>0.6769904839644664</v>
      </c>
      <c r="D81" s="172">
        <f t="shared" si="50"/>
        <v>0.006123137100807732</v>
      </c>
      <c r="E81" s="171">
        <f t="shared" si="35"/>
        <v>62.909038828347235</v>
      </c>
      <c r="F81" s="171"/>
      <c r="G81" s="171">
        <f t="shared" si="44"/>
        <v>0.1879438989516288</v>
      </c>
      <c r="H81" s="171">
        <f t="shared" si="45"/>
        <v>0.18793555726234887</v>
      </c>
      <c r="I81" s="91">
        <f t="shared" si="46"/>
        <v>0.11283406197185963</v>
      </c>
      <c r="J81" s="91">
        <f t="shared" si="24"/>
        <v>29.745695056150083</v>
      </c>
      <c r="K81" s="172">
        <f t="shared" si="51"/>
        <v>0.010970570608518842</v>
      </c>
      <c r="L81" s="177">
        <f t="shared" si="36"/>
        <v>0.7206104776477997</v>
      </c>
      <c r="M81" s="178">
        <f t="shared" si="37"/>
        <v>0.0028952432334024723</v>
      </c>
      <c r="N81" s="403">
        <f t="shared" si="47"/>
        <v>0</v>
      </c>
      <c r="O81" s="177">
        <f t="shared" si="52"/>
        <v>0.00019114877407330202</v>
      </c>
      <c r="P81" s="174">
        <f t="shared" si="55"/>
        <v>7.206104776477998E-05</v>
      </c>
      <c r="Q81" s="179">
        <f t="shared" si="38"/>
        <v>9.733318478311586E-05</v>
      </c>
      <c r="R81" s="179">
        <f t="shared" si="39"/>
        <v>0.010858751521052623</v>
      </c>
      <c r="S81" s="180">
        <f t="shared" si="40"/>
        <v>0.008963570498358784</v>
      </c>
      <c r="T81" s="179">
        <f t="shared" si="41"/>
        <v>0.9891412484789474</v>
      </c>
      <c r="U81" s="181">
        <f t="shared" si="42"/>
        <v>0.009733318478311586</v>
      </c>
    </row>
    <row r="82" spans="1:21" ht="12.75">
      <c r="A82" s="91">
        <f t="shared" si="53"/>
        <v>1987.8999999999928</v>
      </c>
      <c r="B82" s="171">
        <f t="shared" si="48"/>
        <v>62.07728281131395</v>
      </c>
      <c r="C82" s="171">
        <f t="shared" si="49"/>
        <v>0.6752011239323622</v>
      </c>
      <c r="D82" s="172">
        <f t="shared" si="50"/>
        <v>0.006221460057025332</v>
      </c>
      <c r="E82" s="171">
        <f t="shared" si="35"/>
        <v>62.75870539530334</v>
      </c>
      <c r="F82" s="171"/>
      <c r="G82" s="171">
        <f t="shared" si="44"/>
        <v>0.1874947703037385</v>
      </c>
      <c r="H82" s="171">
        <f t="shared" si="45"/>
        <v>0.18748629466685354</v>
      </c>
      <c r="I82" s="91">
        <f t="shared" si="46"/>
        <v>0.11297061668592863</v>
      </c>
      <c r="J82" s="91">
        <f t="shared" si="24"/>
        <v>29.745695056150083</v>
      </c>
      <c r="K82" s="172">
        <f t="shared" si="51"/>
        <v>0.010970947718334342</v>
      </c>
      <c r="L82" s="177">
        <f t="shared" si="36"/>
        <v>0.1558550785112821</v>
      </c>
      <c r="M82" s="178">
        <f t="shared" si="37"/>
        <v>0.0029487806113053295</v>
      </c>
      <c r="N82" s="403">
        <f t="shared" si="47"/>
        <v>0</v>
      </c>
      <c r="O82" s="177">
        <f t="shared" si="52"/>
        <v>0.00019600521177759865</v>
      </c>
      <c r="P82" s="174">
        <f t="shared" si="55"/>
        <v>1.558550785112821E-05</v>
      </c>
      <c r="Q82" s="179">
        <f t="shared" si="38"/>
        <v>9.913302095442725E-05</v>
      </c>
      <c r="R82" s="179">
        <f t="shared" si="39"/>
        <v>0.01085781772739345</v>
      </c>
      <c r="S82" s="180">
        <f t="shared" si="40"/>
        <v>0.009130105463487581</v>
      </c>
      <c r="T82" s="179">
        <f t="shared" si="41"/>
        <v>0.9891421822726065</v>
      </c>
      <c r="U82" s="181">
        <f t="shared" si="42"/>
        <v>0.009913302095442725</v>
      </c>
    </row>
    <row r="83" spans="1:23" ht="12.75">
      <c r="A83" s="91">
        <f t="shared" si="53"/>
        <v>1987.9999999999927</v>
      </c>
      <c r="B83" s="171">
        <f t="shared" si="48"/>
        <v>61.929386091001994</v>
      </c>
      <c r="C83" s="171">
        <f t="shared" si="49"/>
        <v>0.6734291670896332</v>
      </c>
      <c r="D83" s="172">
        <f t="shared" si="50"/>
        <v>0.006378943924278508</v>
      </c>
      <c r="E83" s="171">
        <f t="shared" si="35"/>
        <v>62.6091942020159</v>
      </c>
      <c r="F83" s="171"/>
      <c r="G83" s="171">
        <f t="shared" si="44"/>
        <v>0.18704809813823264</v>
      </c>
      <c r="H83" s="171">
        <f t="shared" si="45"/>
        <v>0.18703940795748467</v>
      </c>
      <c r="I83" s="91">
        <f t="shared" si="46"/>
        <v>0.1131073366620613</v>
      </c>
      <c r="J83" s="91">
        <f t="shared" si="24"/>
        <v>29.745695056150083</v>
      </c>
      <c r="K83" s="172">
        <f t="shared" si="51"/>
        <v>0.011072733871731806</v>
      </c>
      <c r="L83" s="177">
        <f t="shared" si="36"/>
        <v>0.15858920221049783</v>
      </c>
      <c r="M83" s="178">
        <f t="shared" si="37"/>
        <v>0.0030306430735976527</v>
      </c>
      <c r="N83" s="403">
        <f t="shared" si="47"/>
        <v>0</v>
      </c>
      <c r="O83" s="177">
        <f t="shared" si="52"/>
        <v>0.00019910199829833164</v>
      </c>
      <c r="P83" s="174">
        <f t="shared" si="55"/>
        <v>1.585892022104978E-05</v>
      </c>
      <c r="Q83" s="179">
        <f t="shared" si="38"/>
        <v>0.00010188509859584037</v>
      </c>
      <c r="R83" s="179">
        <f t="shared" si="39"/>
        <v>0.010857959756204995</v>
      </c>
      <c r="S83" s="180">
        <f t="shared" si="40"/>
        <v>0.009383447800827973</v>
      </c>
      <c r="T83" s="179">
        <f t="shared" si="41"/>
        <v>0.9891420402437952</v>
      </c>
      <c r="U83" s="181">
        <f t="shared" si="42"/>
        <v>0.010188509859584038</v>
      </c>
      <c r="V83">
        <f>IF(ISNUMBER('Set-up'!$N$15)=FALSE,"",('Set-up'!$N$15-'EPP model'!U83)^2)</f>
      </c>
      <c r="W83" t="e">
        <f>IF(ISNUMBER('Set-up'!$N$15)=FALSE,NA()=FALSE,('Set-up'!$N$15))</f>
        <v>#N/A</v>
      </c>
    </row>
    <row r="84" spans="1:21" ht="12.75">
      <c r="A84" s="91">
        <f t="shared" si="53"/>
        <v>1988.0999999999926</v>
      </c>
      <c r="B84" s="171">
        <f t="shared" si="48"/>
        <v>61.78224534865967</v>
      </c>
      <c r="C84" s="171">
        <f t="shared" si="49"/>
        <v>0.6716593900541101</v>
      </c>
      <c r="D84" s="172">
        <f t="shared" si="50"/>
        <v>0.006540485760948084</v>
      </c>
      <c r="E84" s="171">
        <f t="shared" si="35"/>
        <v>62.46044522447473</v>
      </c>
      <c r="F84" s="171"/>
      <c r="G84" s="171">
        <f t="shared" si="44"/>
        <v>0.18660370313037952</v>
      </c>
      <c r="H84" s="171">
        <f t="shared" si="45"/>
        <v>0.1865947928775043</v>
      </c>
      <c r="I84" s="91">
        <f t="shared" si="46"/>
        <v>0.11324422210026208</v>
      </c>
      <c r="J84" s="91">
        <f t="shared" si="24"/>
        <v>29.745695056150083</v>
      </c>
      <c r="K84" s="172">
        <f t="shared" si="51"/>
        <v>0.0110571923294021</v>
      </c>
      <c r="L84" s="177">
        <f t="shared" si="36"/>
        <v>0.16286054438733413</v>
      </c>
      <c r="M84" s="178">
        <f t="shared" si="37"/>
        <v>0.0031147919978005492</v>
      </c>
      <c r="N84" s="403">
        <f t="shared" si="47"/>
        <v>0</v>
      </c>
      <c r="O84" s="177">
        <f t="shared" si="52"/>
        <v>0.00020409234407988333</v>
      </c>
      <c r="P84" s="174">
        <f t="shared" si="55"/>
        <v>1.6286054438733414E-05</v>
      </c>
      <c r="Q84" s="179">
        <f t="shared" si="38"/>
        <v>0.00010471404322275365</v>
      </c>
      <c r="R84" s="179">
        <f t="shared" si="39"/>
        <v>0.010858069829276687</v>
      </c>
      <c r="S84" s="180">
        <f t="shared" si="40"/>
        <v>0.009643891121459953</v>
      </c>
      <c r="T84" s="179">
        <f t="shared" si="41"/>
        <v>0.9891419301707233</v>
      </c>
      <c r="U84" s="181">
        <f t="shared" si="42"/>
        <v>0.010471404322275365</v>
      </c>
    </row>
    <row r="85" spans="1:21" ht="12.75">
      <c r="A85" s="91">
        <f t="shared" si="53"/>
        <v>1988.1999999999925</v>
      </c>
      <c r="B85" s="171">
        <f t="shared" si="48"/>
        <v>61.635857190965815</v>
      </c>
      <c r="C85" s="171">
        <f t="shared" si="49"/>
        <v>0.6698920541897541</v>
      </c>
      <c r="D85" s="172">
        <f t="shared" si="50"/>
        <v>0.006706040104792749</v>
      </c>
      <c r="E85" s="171">
        <f t="shared" si="35"/>
        <v>62.31245528526036</v>
      </c>
      <c r="F85" s="171"/>
      <c r="G85" s="171">
        <f t="shared" si="44"/>
        <v>0.1861615757874796</v>
      </c>
      <c r="H85" s="171">
        <f t="shared" si="45"/>
        <v>0.18615243999614714</v>
      </c>
      <c r="I85" s="91">
        <f t="shared" si="46"/>
        <v>0.11338127320077748</v>
      </c>
      <c r="J85" s="91">
        <f t="shared" si="24"/>
        <v>29.745695056150083</v>
      </c>
      <c r="K85" s="172">
        <f t="shared" si="51"/>
        <v>0.011045162390792554</v>
      </c>
      <c r="L85" s="177">
        <f t="shared" si="36"/>
        <v>0.1672468685590617</v>
      </c>
      <c r="M85" s="178">
        <f t="shared" si="37"/>
        <v>0.003201219131525101</v>
      </c>
      <c r="N85" s="403">
        <f t="shared" si="47"/>
        <v>0</v>
      </c>
      <c r="O85" s="177">
        <f t="shared" si="52"/>
        <v>0.000209207929338814</v>
      </c>
      <c r="P85" s="174">
        <f t="shared" si="55"/>
        <v>1.672468685590617E-05</v>
      </c>
      <c r="Q85" s="179">
        <f t="shared" si="38"/>
        <v>0.00010761957740379752</v>
      </c>
      <c r="R85" s="179">
        <f t="shared" si="39"/>
        <v>0.010858151732220251</v>
      </c>
      <c r="S85" s="180">
        <f t="shared" si="40"/>
        <v>0.009911408502834736</v>
      </c>
      <c r="T85" s="179">
        <f t="shared" si="41"/>
        <v>0.9891418482677797</v>
      </c>
      <c r="U85" s="181">
        <f t="shared" si="42"/>
        <v>0.010761957740379751</v>
      </c>
    </row>
    <row r="86" spans="1:21" ht="12.75">
      <c r="A86" s="91">
        <f t="shared" si="53"/>
        <v>1988.2999999999925</v>
      </c>
      <c r="B86" s="171">
        <f t="shared" si="48"/>
        <v>61.49021828574461</v>
      </c>
      <c r="C86" s="171">
        <f t="shared" si="49"/>
        <v>0.6681273746488686</v>
      </c>
      <c r="D86" s="172">
        <f t="shared" si="50"/>
        <v>0.0068757022793661145</v>
      </c>
      <c r="E86" s="171">
        <f t="shared" si="35"/>
        <v>62.165221362672845</v>
      </c>
      <c r="F86" s="171"/>
      <c r="G86" s="171">
        <f t="shared" si="44"/>
        <v>0.18572170708205327</v>
      </c>
      <c r="H86" s="171">
        <f t="shared" si="45"/>
        <v>0.18571234015607208</v>
      </c>
      <c r="I86" s="91">
        <f t="shared" si="46"/>
        <v>0.11351849016409635</v>
      </c>
      <c r="J86" s="91">
        <f t="shared" si="24"/>
        <v>29.745695056150083</v>
      </c>
      <c r="K86" s="172">
        <f t="shared" si="51"/>
        <v>0.011036219577487398</v>
      </c>
      <c r="L86" s="177">
        <f t="shared" si="36"/>
        <v>0.17175017595021058</v>
      </c>
      <c r="M86" s="178">
        <f t="shared" si="37"/>
        <v>0.0032899833510720224</v>
      </c>
      <c r="N86" s="403">
        <f t="shared" si="47"/>
        <v>0</v>
      </c>
      <c r="O86" s="177">
        <f t="shared" si="52"/>
        <v>0.00021444712599288904</v>
      </c>
      <c r="P86" s="174">
        <f t="shared" si="55"/>
        <v>1.717501759502106E-05</v>
      </c>
      <c r="Q86" s="179">
        <f t="shared" si="38"/>
        <v>0.00011060368046070589</v>
      </c>
      <c r="R86" s="179">
        <f t="shared" si="39"/>
        <v>0.010858210783007697</v>
      </c>
      <c r="S86" s="180">
        <f t="shared" si="40"/>
        <v>0.010186179166257532</v>
      </c>
      <c r="T86" s="179">
        <f t="shared" si="41"/>
        <v>0.9891417892169923</v>
      </c>
      <c r="U86" s="181">
        <f t="shared" si="42"/>
        <v>0.01106036804607059</v>
      </c>
    </row>
    <row r="87" spans="1:21" ht="12.75">
      <c r="A87" s="91">
        <f t="shared" si="53"/>
        <v>1988.3999999999924</v>
      </c>
      <c r="B87" s="171">
        <f t="shared" si="48"/>
        <v>61.34532538046852</v>
      </c>
      <c r="C87" s="171">
        <f t="shared" si="49"/>
        <v>0.6663654973190225</v>
      </c>
      <c r="D87" s="172">
        <f t="shared" si="50"/>
        <v>0.007049569869091336</v>
      </c>
      <c r="E87" s="171">
        <f t="shared" si="35"/>
        <v>62.01874044765663</v>
      </c>
      <c r="F87" s="171"/>
      <c r="G87" s="171">
        <f t="shared" si="44"/>
        <v>0.1852840880243966</v>
      </c>
      <c r="H87" s="171">
        <f t="shared" si="45"/>
        <v>0.18527448423463377</v>
      </c>
      <c r="I87" s="91">
        <f t="shared" si="46"/>
        <v>0.11365587319095014</v>
      </c>
      <c r="J87" s="91">
        <f t="shared" si="24"/>
        <v>29.745695056150083</v>
      </c>
      <c r="K87" s="172">
        <f t="shared" si="51"/>
        <v>0.011029776386255661</v>
      </c>
      <c r="L87" s="177">
        <f t="shared" si="36"/>
        <v>0.17637354651103115</v>
      </c>
      <c r="M87" s="178">
        <f t="shared" si="37"/>
        <v>0.003381145023091774</v>
      </c>
      <c r="N87" s="403">
        <f t="shared" si="47"/>
        <v>0</v>
      </c>
      <c r="O87" s="177">
        <f t="shared" si="52"/>
        <v>0.00021981279389902375</v>
      </c>
      <c r="P87" s="174">
        <f t="shared" si="55"/>
        <v>1.7637354651103116E-05</v>
      </c>
      <c r="Q87" s="179">
        <f t="shared" si="38"/>
        <v>0.00011366838181825252</v>
      </c>
      <c r="R87" s="179">
        <f t="shared" si="39"/>
        <v>0.010858251269331586</v>
      </c>
      <c r="S87" s="180">
        <f t="shared" si="40"/>
        <v>0.010468387496180105</v>
      </c>
      <c r="T87" s="179">
        <f t="shared" si="41"/>
        <v>0.9891417487306685</v>
      </c>
      <c r="U87" s="181">
        <f t="shared" si="42"/>
        <v>0.011366838181825252</v>
      </c>
    </row>
    <row r="88" spans="1:21" ht="12.75">
      <c r="A88" s="91">
        <f t="shared" si="53"/>
        <v>1988.4999999999923</v>
      </c>
      <c r="B88" s="171">
        <f t="shared" si="48"/>
        <v>61.20117528908522</v>
      </c>
      <c r="C88" s="171">
        <f t="shared" si="49"/>
        <v>0.664606511907302</v>
      </c>
      <c r="D88" s="172">
        <f t="shared" si="50"/>
        <v>0.007227742647496219</v>
      </c>
      <c r="E88" s="171">
        <f t="shared" si="35"/>
        <v>61.873009543640016</v>
      </c>
      <c r="F88" s="171"/>
      <c r="G88" s="171">
        <f t="shared" si="44"/>
        <v>0.18484870966210176</v>
      </c>
      <c r="H88" s="171">
        <f t="shared" si="45"/>
        <v>0.18483886314350054</v>
      </c>
      <c r="I88" s="91">
        <f t="shared" si="46"/>
        <v>0.11379342248231326</v>
      </c>
      <c r="J88" s="91">
        <f t="shared" si="24"/>
        <v>29.745695056150083</v>
      </c>
      <c r="K88" s="172">
        <f t="shared" si="51"/>
        <v>0.011025360963473244</v>
      </c>
      <c r="L88" s="177">
        <f t="shared" si="36"/>
        <v>0.1811201360885706</v>
      </c>
      <c r="M88" s="178">
        <f t="shared" si="37"/>
        <v>0.003474765981524053</v>
      </c>
      <c r="N88" s="403">
        <f t="shared" si="47"/>
        <v>0</v>
      </c>
      <c r="O88" s="177">
        <f t="shared" si="52"/>
        <v>0.00022530783848202882</v>
      </c>
      <c r="P88" s="174">
        <f t="shared" si="55"/>
        <v>1.811201360885706E-05</v>
      </c>
      <c r="Q88" s="179">
        <f t="shared" si="38"/>
        <v>0.00011681576022899576</v>
      </c>
      <c r="R88" s="179">
        <f t="shared" si="39"/>
        <v>0.010858276646151226</v>
      </c>
      <c r="S88" s="180">
        <f t="shared" si="40"/>
        <v>0.010758222877881984</v>
      </c>
      <c r="T88" s="179">
        <f t="shared" si="41"/>
        <v>0.9891417233538489</v>
      </c>
      <c r="U88" s="181">
        <f t="shared" si="42"/>
        <v>0.011681576022899575</v>
      </c>
    </row>
    <row r="89" spans="1:21" ht="12.75">
      <c r="A89" s="91">
        <f t="shared" si="53"/>
        <v>1988.5999999999922</v>
      </c>
      <c r="B89" s="171">
        <f t="shared" si="48"/>
        <v>61.05776488142284</v>
      </c>
      <c r="C89" s="171">
        <f t="shared" si="49"/>
        <v>0.6628504624475466</v>
      </c>
      <c r="D89" s="172">
        <f t="shared" si="50"/>
        <v>0.007410322605164381</v>
      </c>
      <c r="E89" s="171">
        <f t="shared" si="35"/>
        <v>61.72802566647555</v>
      </c>
      <c r="F89" s="171"/>
      <c r="G89" s="171">
        <f t="shared" si="44"/>
        <v>0.18441556307987905</v>
      </c>
      <c r="H89" s="171">
        <f t="shared" si="45"/>
        <v>0.1844054678284387</v>
      </c>
      <c r="I89" s="91">
        <f t="shared" si="46"/>
        <v>0.11393113823940335</v>
      </c>
      <c r="J89" s="91">
        <f t="shared" si="24"/>
        <v>29.745695056150083</v>
      </c>
      <c r="K89" s="172">
        <f t="shared" si="51"/>
        <v>0.011022594268532526</v>
      </c>
      <c r="L89" s="177">
        <f t="shared" si="36"/>
        <v>0.18599317816478417</v>
      </c>
      <c r="M89" s="178">
        <f t="shared" si="37"/>
        <v>0.0035709095520388254</v>
      </c>
      <c r="N89" s="403">
        <f t="shared" si="47"/>
        <v>0</v>
      </c>
      <c r="O89" s="177">
        <f t="shared" si="52"/>
        <v>0.00023093520986748538</v>
      </c>
      <c r="P89" s="174">
        <f t="shared" si="55"/>
        <v>1.8599317816478415E-05</v>
      </c>
      <c r="Q89" s="179">
        <f t="shared" si="38"/>
        <v>0.00012004794459494469</v>
      </c>
      <c r="R89" s="179">
        <f t="shared" si="39"/>
        <v>0.010858289696064735</v>
      </c>
      <c r="S89" s="180">
        <f t="shared" si="40"/>
        <v>0.011055879697007208</v>
      </c>
      <c r="T89" s="179">
        <f t="shared" si="41"/>
        <v>0.9891417103039353</v>
      </c>
      <c r="U89" s="181">
        <f t="shared" si="42"/>
        <v>0.01200479445949447</v>
      </c>
    </row>
    <row r="90" spans="1:21" ht="12.75">
      <c r="A90" s="91">
        <f t="shared" si="53"/>
        <v>1988.699999999992</v>
      </c>
      <c r="B90" s="171">
        <f t="shared" si="48"/>
        <v>60.91509107466361</v>
      </c>
      <c r="C90" s="171">
        <f t="shared" si="49"/>
        <v>0.6610973557376497</v>
      </c>
      <c r="D90" s="172">
        <f t="shared" si="50"/>
        <v>0.00759741397930663</v>
      </c>
      <c r="E90" s="171">
        <f t="shared" si="35"/>
        <v>61.583785844380564</v>
      </c>
      <c r="F90" s="171"/>
      <c r="G90" s="171">
        <f t="shared" si="44"/>
        <v>0.18398463939937917</v>
      </c>
      <c r="H90" s="171">
        <f t="shared" si="45"/>
        <v>0.18397428926909412</v>
      </c>
      <c r="I90" s="91">
        <f t="shared" si="46"/>
        <v>0.11406902066368155</v>
      </c>
      <c r="J90" s="91">
        <f t="shared" si="24"/>
        <v>29.745695056150083</v>
      </c>
      <c r="K90" s="172">
        <f t="shared" si="51"/>
        <v>0.011021171775607325</v>
      </c>
      <c r="L90" s="177">
        <f t="shared" si="36"/>
        <v>0.19099598588641162</v>
      </c>
      <c r="M90" s="178">
        <f t="shared" si="37"/>
        <v>0.0036696405773892194</v>
      </c>
      <c r="N90" s="403">
        <f t="shared" si="47"/>
        <v>0</v>
      </c>
      <c r="O90" s="177">
        <f t="shared" si="52"/>
        <v>0.0002366979047927297</v>
      </c>
      <c r="P90" s="174">
        <f>O79*$Y$6+O68*$Y$7+O57*$Y$8+O46*$Y$9+O35*$Y$10+O24*$Y$11+O13*$Y$12</f>
        <v>1.9099598588641163E-05</v>
      </c>
      <c r="Q90" s="179">
        <f t="shared" si="38"/>
        <v>0.00012336711481988053</v>
      </c>
      <c r="R90" s="179">
        <f t="shared" si="39"/>
        <v>0.010858292658504588</v>
      </c>
      <c r="S90" s="180">
        <f t="shared" si="40"/>
        <v>0.011361557355267556</v>
      </c>
      <c r="T90" s="179">
        <f t="shared" si="41"/>
        <v>0.9891417073414954</v>
      </c>
      <c r="U90" s="181">
        <f t="shared" si="42"/>
        <v>0.012336711481988054</v>
      </c>
    </row>
    <row r="91" spans="1:21" ht="12.75">
      <c r="A91" s="91">
        <f t="shared" si="53"/>
        <v>1988.799999999992</v>
      </c>
      <c r="B91" s="171">
        <f t="shared" si="48"/>
        <v>60.773150826468665</v>
      </c>
      <c r="C91" s="171">
        <f t="shared" si="49"/>
        <v>0.6593471681243973</v>
      </c>
      <c r="D91" s="172">
        <f t="shared" si="50"/>
        <v>0.007789123284620722</v>
      </c>
      <c r="E91" s="171">
        <f t="shared" si="35"/>
        <v>61.44028711787769</v>
      </c>
      <c r="F91" s="171"/>
      <c r="G91" s="171">
        <f t="shared" si="44"/>
        <v>0.1835559297790155</v>
      </c>
      <c r="H91" s="171">
        <f t="shared" si="45"/>
        <v>0.18354531847877287</v>
      </c>
      <c r="I91" s="91">
        <f t="shared" si="46"/>
        <v>0.11420706995685283</v>
      </c>
      <c r="J91" s="91">
        <f t="shared" si="24"/>
        <v>29.745695056150083</v>
      </c>
      <c r="K91" s="172">
        <f t="shared" si="51"/>
        <v>0.011020848883064089</v>
      </c>
      <c r="L91" s="177">
        <f t="shared" si="36"/>
        <v>0.19613195409312373</v>
      </c>
      <c r="M91" s="178">
        <f t="shared" si="37"/>
        <v>0.0037710254435264334</v>
      </c>
      <c r="N91" s="403">
        <f t="shared" si="47"/>
        <v>0</v>
      </c>
      <c r="O91" s="177">
        <f t="shared" si="52"/>
        <v>0.00024259896822195951</v>
      </c>
      <c r="P91" s="174">
        <f aca="true" t="shared" si="56" ref="P91:P100">O80*$Y$6+O69*$Y$7+O58*$Y$8+O47*$Y$9+O36*$Y$10+O25*$Y$11+O14*$Y$12+O3*$Y$13</f>
        <v>1.961319540931237E-05</v>
      </c>
      <c r="Q91" s="179">
        <f t="shared" si="38"/>
        <v>0.0001267755026872957</v>
      </c>
      <c r="R91" s="179">
        <f t="shared" si="39"/>
        <v>0.010858287333994195</v>
      </c>
      <c r="S91" s="180">
        <f t="shared" si="40"/>
        <v>0.01167546029937869</v>
      </c>
      <c r="T91" s="179">
        <f t="shared" si="41"/>
        <v>0.9891417126660057</v>
      </c>
      <c r="U91" s="181">
        <f t="shared" si="42"/>
        <v>0.01267755026872957</v>
      </c>
    </row>
    <row r="92" spans="1:21" ht="12.75">
      <c r="A92" s="91">
        <f t="shared" si="53"/>
        <v>1988.899999999992</v>
      </c>
      <c r="B92" s="171">
        <f t="shared" si="48"/>
        <v>60.63194112942588</v>
      </c>
      <c r="C92" s="171">
        <f t="shared" si="49"/>
        <v>0.6575998509643444</v>
      </c>
      <c r="D92" s="172">
        <f t="shared" si="50"/>
        <v>0.00798555934518437</v>
      </c>
      <c r="E92" s="171">
        <f t="shared" si="35"/>
        <v>61.297526539735415</v>
      </c>
      <c r="F92" s="171"/>
      <c r="G92" s="171">
        <f t="shared" si="44"/>
        <v>0.18312942541378657</v>
      </c>
      <c r="H92" s="171">
        <f t="shared" si="45"/>
        <v>0.18311854650421985</v>
      </c>
      <c r="I92" s="91">
        <f t="shared" si="46"/>
        <v>0.11434528632086625</v>
      </c>
      <c r="J92" s="91">
        <f t="shared" si="24"/>
        <v>29.745695056150083</v>
      </c>
      <c r="K92" s="172">
        <f t="shared" si="51"/>
        <v>0.011021429237302514</v>
      </c>
      <c r="L92" s="177">
        <f t="shared" si="36"/>
        <v>0.8726346061915138</v>
      </c>
      <c r="M92" s="178">
        <f t="shared" si="37"/>
        <v>0.0038751321063609937</v>
      </c>
      <c r="N92" s="403">
        <f t="shared" si="47"/>
        <v>0</v>
      </c>
      <c r="O92" s="177">
        <f t="shared" si="52"/>
        <v>0.00024864149471142034</v>
      </c>
      <c r="P92" s="174">
        <f t="shared" si="56"/>
        <v>8.726346061915138E-05</v>
      </c>
      <c r="Q92" s="179">
        <f t="shared" si="38"/>
        <v>0.00013027539276006225</v>
      </c>
      <c r="R92" s="179">
        <f t="shared" si="39"/>
        <v>0.010858275168380093</v>
      </c>
      <c r="S92" s="180">
        <f t="shared" si="40"/>
        <v>0.011997798060914085</v>
      </c>
      <c r="T92" s="179">
        <f t="shared" si="41"/>
        <v>0.9891417248316199</v>
      </c>
      <c r="U92" s="181">
        <f t="shared" si="42"/>
        <v>0.013027539276006224</v>
      </c>
    </row>
    <row r="93" spans="1:23" ht="12.75">
      <c r="A93" s="91">
        <f t="shared" si="53"/>
        <v>1988.9999999999918</v>
      </c>
      <c r="B93" s="171">
        <f t="shared" si="48"/>
        <v>60.49145900656064</v>
      </c>
      <c r="C93" s="171">
        <f t="shared" si="49"/>
        <v>0.6558553350209771</v>
      </c>
      <c r="D93" s="172">
        <f t="shared" si="50"/>
        <v>0.008119710322679004</v>
      </c>
      <c r="E93" s="171">
        <f t="shared" si="35"/>
        <v>61.1554340519043</v>
      </c>
      <c r="F93" s="171"/>
      <c r="G93" s="171">
        <f t="shared" si="44"/>
        <v>0.18270491700176672</v>
      </c>
      <c r="H93" s="171">
        <f t="shared" si="45"/>
        <v>0.18269385533526472</v>
      </c>
      <c r="I93" s="91">
        <f t="shared" si="46"/>
        <v>0.1144836699579153</v>
      </c>
      <c r="J93" s="91">
        <f t="shared" si="24"/>
        <v>29.745695056150083</v>
      </c>
      <c r="K93" s="172">
        <f t="shared" si="51"/>
        <v>0.011022755362943882</v>
      </c>
      <c r="L93" s="177">
        <f t="shared" si="36"/>
        <v>0.22847848801487478</v>
      </c>
      <c r="M93" s="178">
        <f t="shared" si="37"/>
        <v>0.0039493861984152305</v>
      </c>
      <c r="N93" s="403">
        <f t="shared" si="47"/>
        <v>0</v>
      </c>
      <c r="O93" s="177">
        <f t="shared" si="52"/>
        <v>0.00025482862956101353</v>
      </c>
      <c r="P93" s="174">
        <f t="shared" si="56"/>
        <v>2.2847848801487477E-05</v>
      </c>
      <c r="Q93" s="179">
        <f t="shared" si="38"/>
        <v>0.00013277168985159328</v>
      </c>
      <c r="R93" s="179">
        <f t="shared" si="39"/>
        <v>0.010857171658370085</v>
      </c>
      <c r="S93" s="180">
        <f t="shared" si="40"/>
        <v>0.012228938993447342</v>
      </c>
      <c r="T93" s="179">
        <f t="shared" si="41"/>
        <v>0.9891428283416298</v>
      </c>
      <c r="U93" s="181">
        <f t="shared" si="42"/>
        <v>0.013277168985159328</v>
      </c>
      <c r="V93">
        <f>IF(ISNUMBER('Set-up'!$N$16)=FALSE,"",('Set-up'!$N$16-'EPP model'!U93)^2)</f>
      </c>
      <c r="W93" t="e">
        <f>IF(ISNUMBER('Set-up'!$N$16)=FALSE,NA()=FALSE,('Set-up'!$N$16))</f>
        <v>#N/A</v>
      </c>
    </row>
    <row r="94" spans="1:21" ht="12.75">
      <c r="A94" s="91">
        <f t="shared" si="53"/>
        <v>1989.0999999999917</v>
      </c>
      <c r="B94" s="171">
        <f t="shared" si="48"/>
        <v>60.35168786742161</v>
      </c>
      <c r="C94" s="171">
        <f t="shared" si="49"/>
        <v>0.654129315255197</v>
      </c>
      <c r="D94" s="172">
        <f t="shared" si="50"/>
        <v>0.008321909551704166</v>
      </c>
      <c r="E94" s="171">
        <f t="shared" si="35"/>
        <v>61.01413909222851</v>
      </c>
      <c r="F94" s="171"/>
      <c r="G94" s="171">
        <f t="shared" si="44"/>
        <v>0.1822827912449873</v>
      </c>
      <c r="H94" s="171">
        <f t="shared" si="45"/>
        <v>0.1822714541178655</v>
      </c>
      <c r="I94" s="91">
        <f t="shared" si="46"/>
        <v>0.11462222107043814</v>
      </c>
      <c r="J94" s="91">
        <f t="shared" si="24"/>
        <v>29.745695056150083</v>
      </c>
      <c r="K94" s="172">
        <f t="shared" si="51"/>
        <v>0.011143703191136943</v>
      </c>
      <c r="L94" s="177">
        <f t="shared" si="36"/>
        <v>0.2323760311637222</v>
      </c>
      <c r="M94" s="178">
        <f t="shared" si="37"/>
        <v>0.004057108524233599</v>
      </c>
      <c r="N94" s="403">
        <f t="shared" si="47"/>
        <v>0</v>
      </c>
      <c r="O94" s="177">
        <f t="shared" si="52"/>
        <v>0.00025902260082888445</v>
      </c>
      <c r="P94" s="174">
        <f t="shared" si="56"/>
        <v>2.323760311637222E-05</v>
      </c>
      <c r="Q94" s="179">
        <f t="shared" si="38"/>
        <v>0.0001363931324037012</v>
      </c>
      <c r="R94" s="179">
        <f t="shared" si="39"/>
        <v>0.01085733953904594</v>
      </c>
      <c r="S94" s="180">
        <f t="shared" si="40"/>
        <v>0.012562297781440331</v>
      </c>
      <c r="T94" s="179">
        <f t="shared" si="41"/>
        <v>0.9891426604609541</v>
      </c>
      <c r="U94" s="181">
        <f t="shared" si="42"/>
        <v>0.013639313240370122</v>
      </c>
    </row>
    <row r="95" spans="1:21" ht="12.75">
      <c r="A95" s="91">
        <f t="shared" si="53"/>
        <v>1989.1999999999916</v>
      </c>
      <c r="B95" s="171">
        <f t="shared" si="48"/>
        <v>60.21264087067664</v>
      </c>
      <c r="C95" s="171">
        <f t="shared" si="49"/>
        <v>0.6524035775048928</v>
      </c>
      <c r="D95" s="172">
        <f t="shared" si="50"/>
        <v>0.008529237719982779</v>
      </c>
      <c r="E95" s="171">
        <f t="shared" si="35"/>
        <v>60.87357368590151</v>
      </c>
      <c r="F95" s="171"/>
      <c r="G95" s="171">
        <f t="shared" si="44"/>
        <v>0.18186284506531508</v>
      </c>
      <c r="H95" s="171">
        <f t="shared" si="45"/>
        <v>0.18185122549030253</v>
      </c>
      <c r="I95" s="91">
        <f t="shared" si="46"/>
        <v>0.11476093986111795</v>
      </c>
      <c r="J95" s="91">
        <f t="shared" si="24"/>
        <v>29.745695056150083</v>
      </c>
      <c r="K95" s="172">
        <f t="shared" si="51"/>
        <v>0.011125218719165593</v>
      </c>
      <c r="L95" s="177">
        <f t="shared" si="36"/>
        <v>0.23857078661374614</v>
      </c>
      <c r="M95" s="178">
        <f t="shared" si="37"/>
        <v>0.004167787250164024</v>
      </c>
      <c r="N95" s="403">
        <f t="shared" si="47"/>
        <v>0</v>
      </c>
      <c r="O95" s="177">
        <f t="shared" si="52"/>
        <v>0.00026538736208729473</v>
      </c>
      <c r="P95" s="174">
        <f t="shared" si="56"/>
        <v>2.3857078661374613E-05</v>
      </c>
      <c r="Q95" s="179">
        <f t="shared" si="38"/>
        <v>0.0001401139641315025</v>
      </c>
      <c r="R95" s="179">
        <f t="shared" si="39"/>
        <v>0.01085746696317173</v>
      </c>
      <c r="S95" s="180">
        <f t="shared" si="40"/>
        <v>0.012904848304559962</v>
      </c>
      <c r="T95" s="179">
        <f t="shared" si="41"/>
        <v>0.9891425330368283</v>
      </c>
      <c r="U95" s="181">
        <f t="shared" si="42"/>
        <v>0.01401139641315025</v>
      </c>
    </row>
    <row r="96" spans="1:21" ht="12.75">
      <c r="A96" s="91">
        <f t="shared" si="53"/>
        <v>1989.2999999999915</v>
      </c>
      <c r="B96" s="171">
        <f t="shared" si="48"/>
        <v>60.07431464327944</v>
      </c>
      <c r="C96" s="171">
        <f t="shared" si="49"/>
        <v>0.6506784756609371</v>
      </c>
      <c r="D96" s="172">
        <f t="shared" si="50"/>
        <v>0.008741599453008732</v>
      </c>
      <c r="E96" s="171">
        <f t="shared" si="35"/>
        <v>60.73373471839339</v>
      </c>
      <c r="F96" s="171"/>
      <c r="G96" s="171">
        <f t="shared" si="44"/>
        <v>0.1814450691579362</v>
      </c>
      <c r="H96" s="171">
        <f t="shared" si="45"/>
        <v>0.1814331602776929</v>
      </c>
      <c r="I96" s="91">
        <f t="shared" si="46"/>
        <v>0.11489982653288318</v>
      </c>
      <c r="J96" s="91">
        <f t="shared" si="24"/>
        <v>29.745695056150083</v>
      </c>
      <c r="K96" s="172">
        <f t="shared" si="51"/>
        <v>0.011111208949139143</v>
      </c>
      <c r="L96" s="177">
        <f t="shared" si="36"/>
        <v>0.24493074478567958</v>
      </c>
      <c r="M96" s="178">
        <f t="shared" si="37"/>
        <v>0.004281392422808749</v>
      </c>
      <c r="N96" s="403">
        <f t="shared" si="47"/>
        <v>0</v>
      </c>
      <c r="O96" s="177">
        <f t="shared" si="52"/>
        <v>0.0002719079312286289</v>
      </c>
      <c r="P96" s="174">
        <f t="shared" si="56"/>
        <v>2.4493074478567957E-05</v>
      </c>
      <c r="Q96" s="179">
        <f t="shared" si="38"/>
        <v>0.00014393317805238334</v>
      </c>
      <c r="R96" s="179">
        <f t="shared" si="39"/>
        <v>0.010857558458598109</v>
      </c>
      <c r="S96" s="180">
        <f t="shared" si="40"/>
        <v>0.0132564957951852</v>
      </c>
      <c r="T96" s="179">
        <f t="shared" si="41"/>
        <v>0.9891424415414019</v>
      </c>
      <c r="U96" s="181">
        <f t="shared" si="42"/>
        <v>0.014393317805238334</v>
      </c>
    </row>
    <row r="97" spans="1:21" ht="12.75">
      <c r="A97" s="91">
        <f t="shared" si="53"/>
        <v>1989.3999999999915</v>
      </c>
      <c r="B97" s="171">
        <f t="shared" si="48"/>
        <v>59.93670588373958</v>
      </c>
      <c r="C97" s="171">
        <f t="shared" si="49"/>
        <v>0.6489543082134036</v>
      </c>
      <c r="D97" s="172">
        <f t="shared" si="50"/>
        <v>0.008959109657597027</v>
      </c>
      <c r="E97" s="171">
        <f t="shared" si="35"/>
        <v>60.59461930161058</v>
      </c>
      <c r="F97" s="171"/>
      <c r="G97" s="171">
        <f t="shared" si="44"/>
        <v>0.1810294548945267</v>
      </c>
      <c r="H97" s="171">
        <f t="shared" si="45"/>
        <v>0.18101724969517247</v>
      </c>
      <c r="I97" s="91">
        <f t="shared" si="46"/>
        <v>0.1150388812889079</v>
      </c>
      <c r="J97" s="91">
        <f t="shared" si="24"/>
        <v>29.745695056150083</v>
      </c>
      <c r="K97" s="172">
        <f t="shared" si="51"/>
        <v>0.011101160156067979</v>
      </c>
      <c r="L97" s="177">
        <f t="shared" si="36"/>
        <v>0.2514581393324528</v>
      </c>
      <c r="M97" s="178">
        <f t="shared" si="37"/>
        <v>0.004397996834058945</v>
      </c>
      <c r="N97" s="403">
        <f t="shared" si="47"/>
        <v>0</v>
      </c>
      <c r="O97" s="177">
        <f t="shared" si="52"/>
        <v>0.00027858098953794833</v>
      </c>
      <c r="P97" s="174">
        <f t="shared" si="56"/>
        <v>2.514581393324528E-05</v>
      </c>
      <c r="Q97" s="179">
        <f t="shared" si="38"/>
        <v>0.0001478532213067126</v>
      </c>
      <c r="R97" s="179">
        <f t="shared" si="39"/>
        <v>0.010857621113126024</v>
      </c>
      <c r="S97" s="180">
        <f t="shared" si="40"/>
        <v>0.013617460009538323</v>
      </c>
      <c r="T97" s="179">
        <f t="shared" si="41"/>
        <v>0.989142378886874</v>
      </c>
      <c r="U97" s="181">
        <f t="shared" si="42"/>
        <v>0.01478532213067126</v>
      </c>
    </row>
    <row r="98" spans="1:21" ht="12.75">
      <c r="A98" s="91">
        <f t="shared" si="53"/>
        <v>1989.4999999999914</v>
      </c>
      <c r="B98" s="171">
        <f t="shared" si="48"/>
        <v>59.79981139372342</v>
      </c>
      <c r="C98" s="171">
        <f t="shared" si="49"/>
        <v>0.6472312799022095</v>
      </c>
      <c r="D98" s="172">
        <f t="shared" si="50"/>
        <v>0.009181885898671575</v>
      </c>
      <c r="E98" s="171">
        <f t="shared" si="35"/>
        <v>60.456224559524294</v>
      </c>
      <c r="F98" s="171"/>
      <c r="G98" s="171">
        <f t="shared" si="44"/>
        <v>0.18061599368280684</v>
      </c>
      <c r="H98" s="171">
        <f t="shared" si="45"/>
        <v>0.1806034849903001</v>
      </c>
      <c r="I98" s="91">
        <f t="shared" si="46"/>
        <v>0.11517810433261202</v>
      </c>
      <c r="J98" s="91">
        <f t="shared" si="24"/>
        <v>29.745695056150083</v>
      </c>
      <c r="K98" s="172">
        <f t="shared" si="51"/>
        <v>0.011094284095843357</v>
      </c>
      <c r="L98" s="177">
        <f t="shared" si="36"/>
        <v>0.25815731097452005</v>
      </c>
      <c r="M98" s="178">
        <f t="shared" si="37"/>
        <v>0.00451767506112357</v>
      </c>
      <c r="N98" s="403">
        <f t="shared" si="47"/>
        <v>0</v>
      </c>
      <c r="O98" s="177">
        <f t="shared" si="52"/>
        <v>0.00028540989929714617</v>
      </c>
      <c r="P98" s="174">
        <f t="shared" si="56"/>
        <v>2.5815731097452004E-05</v>
      </c>
      <c r="Q98" s="179">
        <f t="shared" si="38"/>
        <v>0.00015187660105422606</v>
      </c>
      <c r="R98" s="179">
        <f t="shared" si="39"/>
        <v>0.010857660573140594</v>
      </c>
      <c r="S98" s="180">
        <f t="shared" si="40"/>
        <v>0.013987967300242793</v>
      </c>
      <c r="T98" s="179">
        <f t="shared" si="41"/>
        <v>0.9891423394268595</v>
      </c>
      <c r="U98" s="181">
        <f t="shared" si="42"/>
        <v>0.015187660105422607</v>
      </c>
    </row>
    <row r="99" spans="1:21" ht="12.75">
      <c r="A99" s="91">
        <f t="shared" si="53"/>
        <v>1989.5999999999913</v>
      </c>
      <c r="B99" s="171">
        <f t="shared" si="48"/>
        <v>59.663628059242015</v>
      </c>
      <c r="C99" s="171">
        <f t="shared" si="49"/>
        <v>0.6455095204517357</v>
      </c>
      <c r="D99" s="172">
        <f t="shared" si="50"/>
        <v>0.009410048215847266</v>
      </c>
      <c r="E99" s="171">
        <f t="shared" si="35"/>
        <v>60.3185476279096</v>
      </c>
      <c r="F99" s="171"/>
      <c r="G99" s="171">
        <f t="shared" si="44"/>
        <v>0.18020467696576137</v>
      </c>
      <c r="H99" s="171">
        <f t="shared" si="45"/>
        <v>0.1801918574425278</v>
      </c>
      <c r="I99" s="91">
        <f aca="true" t="shared" si="57" ref="I99:I130">I100/(1+gr*Solution_interval)</f>
        <v>0.11531749586766171</v>
      </c>
      <c r="J99" s="91">
        <f aca="true" t="shared" si="58" ref="J99:J162">force_of_infection</f>
        <v>29.745695056150083</v>
      </c>
      <c r="K99" s="172">
        <f t="shared" si="51"/>
        <v>0.011089955693458954</v>
      </c>
      <c r="L99" s="177">
        <f t="shared" si="36"/>
        <v>0.2650327033049974</v>
      </c>
      <c r="M99" s="178">
        <f t="shared" si="37"/>
        <v>0.004640503389089352</v>
      </c>
      <c r="N99" s="403">
        <f t="shared" si="47"/>
        <v>0</v>
      </c>
      <c r="O99" s="177">
        <f t="shared" si="52"/>
        <v>0.00029239806119933014</v>
      </c>
      <c r="P99" s="174">
        <f t="shared" si="56"/>
        <v>2.650327033049974E-05</v>
      </c>
      <c r="Q99" s="179">
        <f t="shared" si="38"/>
        <v>0.00015600588187062388</v>
      </c>
      <c r="R99" s="179">
        <f t="shared" si="39"/>
        <v>0.010857681333901173</v>
      </c>
      <c r="S99" s="180">
        <f t="shared" si="40"/>
        <v>0.014368250188327351</v>
      </c>
      <c r="T99" s="179">
        <f t="shared" si="41"/>
        <v>0.9891423186660988</v>
      </c>
      <c r="U99" s="181">
        <f t="shared" si="42"/>
        <v>0.015600588187062388</v>
      </c>
    </row>
    <row r="100" spans="1:21" ht="12.75">
      <c r="A100" s="91">
        <f t="shared" si="53"/>
        <v>1989.6999999999912</v>
      </c>
      <c r="B100" s="171">
        <f t="shared" si="48"/>
        <v>59.5281528357243</v>
      </c>
      <c r="C100" s="171">
        <f t="shared" si="49"/>
        <v>0.6437890994230671</v>
      </c>
      <c r="D100" s="172">
        <f t="shared" si="50"/>
        <v>0.009643719138584752</v>
      </c>
      <c r="E100" s="171">
        <f t="shared" si="35"/>
        <v>60.18158565428595</v>
      </c>
      <c r="F100" s="171"/>
      <c r="G100" s="171">
        <f t="shared" si="44"/>
        <v>0.17979549622146204</v>
      </c>
      <c r="H100" s="171">
        <f t="shared" si="45"/>
        <v>0.17978235836300271</v>
      </c>
      <c r="I100" s="91">
        <f t="shared" si="57"/>
        <v>0.11545705609796954</v>
      </c>
      <c r="J100" s="91">
        <f t="shared" si="58"/>
        <v>29.745695056150083</v>
      </c>
      <c r="K100" s="172">
        <f t="shared" si="51"/>
        <v>0.01108767909844638</v>
      </c>
      <c r="L100" s="177">
        <f t="shared" si="36"/>
        <v>0.272088864864238</v>
      </c>
      <c r="M100" s="178">
        <f t="shared" si="37"/>
        <v>0.004766559830300369</v>
      </c>
      <c r="N100" s="403">
        <f t="shared" si="47"/>
        <v>0</v>
      </c>
      <c r="O100" s="177">
        <f t="shared" si="52"/>
        <v>0.0002995489117345722</v>
      </c>
      <c r="P100" s="174">
        <f t="shared" si="56"/>
        <v>2.72088864864238E-05</v>
      </c>
      <c r="Q100" s="179">
        <f t="shared" si="38"/>
        <v>0.00016024368639907968</v>
      </c>
      <c r="R100" s="179">
        <f t="shared" si="39"/>
        <v>0.010857686972811031</v>
      </c>
      <c r="S100" s="180">
        <f t="shared" si="40"/>
        <v>0.014758547267051388</v>
      </c>
      <c r="T100" s="179">
        <f t="shared" si="41"/>
        <v>0.9891423130271889</v>
      </c>
      <c r="U100" s="181">
        <f t="shared" si="42"/>
        <v>0.016024368639907968</v>
      </c>
    </row>
    <row r="101" spans="1:21" ht="12.75">
      <c r="A101" s="91">
        <f t="shared" si="53"/>
        <v>1989.799999999991</v>
      </c>
      <c r="B101" s="171">
        <f t="shared" si="48"/>
        <v>59.39338273616852</v>
      </c>
      <c r="C101" s="171">
        <f t="shared" si="49"/>
        <v>0.6420700379853769</v>
      </c>
      <c r="D101" s="172">
        <f t="shared" si="50"/>
        <v>0.009883023703933971</v>
      </c>
      <c r="E101" s="171">
        <f t="shared" si="35"/>
        <v>60.04533579785783</v>
      </c>
      <c r="F101" s="171"/>
      <c r="G101" s="171">
        <f t="shared" si="44"/>
        <v>0.1793884429628902</v>
      </c>
      <c r="H101" s="171">
        <f t="shared" si="45"/>
        <v>0.1793749790943654</v>
      </c>
      <c r="I101" s="91">
        <f t="shared" si="57"/>
        <v>0.1155967852276949</v>
      </c>
      <c r="J101" s="91">
        <f t="shared" si="58"/>
        <v>29.745695056150083</v>
      </c>
      <c r="K101" s="172">
        <f t="shared" si="51"/>
        <v>0.011087060823543873</v>
      </c>
      <c r="L101" s="177">
        <f t="shared" si="36"/>
        <v>0.2793304519751289</v>
      </c>
      <c r="M101" s="178">
        <f t="shared" si="37"/>
        <v>0.004895924145042599</v>
      </c>
      <c r="N101" s="403">
        <f t="shared" si="47"/>
        <v>0</v>
      </c>
      <c r="O101" s="177">
        <f t="shared" si="52"/>
        <v>0.00030686592604952425</v>
      </c>
      <c r="P101" s="174">
        <f>O90*$Y$6+O79*$Y$7+O68*$Y$8+O57*$Y$9+O46*$Y$10+O35*$Y$11+O24*$Y$12+O13*$Y$13</f>
        <v>2.793304519751289E-05</v>
      </c>
      <c r="Q101" s="179">
        <f t="shared" si="38"/>
        <v>0.00016459269604561952</v>
      </c>
      <c r="R101" s="179">
        <f t="shared" si="39"/>
        <v>0.010857680334807452</v>
      </c>
      <c r="S101" s="180">
        <f t="shared" si="40"/>
        <v>0.015159103138998278</v>
      </c>
      <c r="T101" s="179">
        <f t="shared" si="41"/>
        <v>0.9891423196651925</v>
      </c>
      <c r="U101" s="181">
        <f t="shared" si="42"/>
        <v>0.01645926960456195</v>
      </c>
    </row>
    <row r="102" spans="1:21" ht="12.75">
      <c r="A102" s="91">
        <f t="shared" si="53"/>
        <v>1989.899999999991</v>
      </c>
      <c r="B102" s="171">
        <f t="shared" si="48"/>
        <v>59.25931482171434</v>
      </c>
      <c r="C102" s="171">
        <f t="shared" si="49"/>
        <v>0.6403523182648194</v>
      </c>
      <c r="D102" s="172">
        <f t="shared" si="50"/>
        <v>0.01012808947615059</v>
      </c>
      <c r="E102" s="171">
        <f t="shared" si="35"/>
        <v>59.909795229455305</v>
      </c>
      <c r="F102" s="171"/>
      <c r="G102" s="171">
        <f t="shared" si="44"/>
        <v>0.17898350873775923</v>
      </c>
      <c r="H102" s="171">
        <f t="shared" si="45"/>
        <v>0.17896971101054543</v>
      </c>
      <c r="I102" s="91">
        <f t="shared" si="57"/>
        <v>0.11573668346124426</v>
      </c>
      <c r="J102" s="91">
        <f t="shared" si="58"/>
        <v>29.745695056150083</v>
      </c>
      <c r="K102" s="172">
        <f t="shared" si="51"/>
        <v>0.011087788647032372</v>
      </c>
      <c r="L102" s="177">
        <f t="shared" si="36"/>
        <v>0.28676223153237984</v>
      </c>
      <c r="M102" s="178">
        <f t="shared" si="37"/>
        <v>0.005028677863196184</v>
      </c>
      <c r="N102" s="403">
        <f t="shared" si="47"/>
        <v>0</v>
      </c>
      <c r="O102" s="177">
        <f t="shared" si="52"/>
        <v>0.00031435262017810256</v>
      </c>
      <c r="P102" s="174">
        <f aca="true" t="shared" si="59" ref="P102:P111">O91*$Y$6+O80*$Y$7+O69*$Y$8+O58*$Y$9+O47*$Y$10+O36*$Y$11+O25*$Y$12+O14*$Y$13+O3*$Y$14</f>
        <v>2.8676223153237982E-05</v>
      </c>
      <c r="Q102" s="179">
        <f t="shared" si="38"/>
        <v>0.0001690556517070351</v>
      </c>
      <c r="R102" s="179">
        <f t="shared" si="39"/>
        <v>0.010857663680031313</v>
      </c>
      <c r="S102" s="180">
        <f t="shared" si="40"/>
        <v>0.015570168379588965</v>
      </c>
      <c r="T102" s="179">
        <f t="shared" si="41"/>
        <v>0.9891423363199687</v>
      </c>
      <c r="U102" s="181">
        <f t="shared" si="42"/>
        <v>0.01690556517070351</v>
      </c>
    </row>
    <row r="103" spans="1:23" ht="12.75">
      <c r="A103" s="91">
        <f t="shared" si="53"/>
        <v>1989.999999999991</v>
      </c>
      <c r="B103" s="171">
        <f t="shared" si="48"/>
        <v>59.12594619412697</v>
      </c>
      <c r="C103" s="171">
        <f t="shared" si="49"/>
        <v>0.6386358907799818</v>
      </c>
      <c r="D103" s="172">
        <f t="shared" si="50"/>
        <v>0.010379046567660402</v>
      </c>
      <c r="E103" s="171">
        <f t="shared" si="35"/>
        <v>59.77496113147461</v>
      </c>
      <c r="F103" s="171"/>
      <c r="G103" s="171">
        <f t="shared" si="44"/>
        <v>0.17858068512833702</v>
      </c>
      <c r="H103" s="171">
        <f t="shared" si="45"/>
        <v>0.1785665455165556</v>
      </c>
      <c r="I103" s="91">
        <f t="shared" si="57"/>
        <v>0.11587675100327147</v>
      </c>
      <c r="J103" s="91">
        <f t="shared" si="58"/>
        <v>29.745695056150083</v>
      </c>
      <c r="K103" s="172">
        <f t="shared" si="51"/>
        <v>0.011089614966902922</v>
      </c>
      <c r="L103" s="177">
        <f t="shared" si="36"/>
        <v>1.0495228842063697</v>
      </c>
      <c r="M103" s="178">
        <f t="shared" si="37"/>
        <v>0.005164904306606804</v>
      </c>
      <c r="N103" s="403">
        <f t="shared" si="47"/>
        <v>0</v>
      </c>
      <c r="O103" s="177">
        <f t="shared" si="52"/>
        <v>0.0003220125527504655</v>
      </c>
      <c r="P103" s="174">
        <f t="shared" si="59"/>
        <v>0.00010495228842063698</v>
      </c>
      <c r="Q103" s="179">
        <f t="shared" si="38"/>
        <v>0.00017363535452297093</v>
      </c>
      <c r="R103" s="179">
        <f t="shared" si="39"/>
        <v>0.010857638801640345</v>
      </c>
      <c r="S103" s="180">
        <f t="shared" si="40"/>
        <v>0.015991999521731973</v>
      </c>
      <c r="T103" s="179">
        <f t="shared" si="41"/>
        <v>0.9891423611983596</v>
      </c>
      <c r="U103" s="181">
        <f t="shared" si="42"/>
        <v>0.01736353545229709</v>
      </c>
      <c r="V103">
        <f>IF(ISNUMBER('Set-up'!$N$17)=FALSE,"",('Set-up'!$N$17-'EPP model'!U103)^2)</f>
      </c>
      <c r="W103" t="e">
        <f>IF(ISNUMBER('Set-up'!$N$17)=FALSE,NA()=FALSE,('Set-up'!$N$17))</f>
        <v>#N/A</v>
      </c>
    </row>
    <row r="104" spans="1:21" ht="12.75">
      <c r="A104" s="91">
        <f t="shared" si="53"/>
        <v>1990.0999999999908</v>
      </c>
      <c r="B104" s="171">
        <f t="shared" si="48"/>
        <v>58.993273989796975</v>
      </c>
      <c r="C104" s="171">
        <f t="shared" si="49"/>
        <v>0.6369206803606732</v>
      </c>
      <c r="D104" s="172">
        <f t="shared" si="50"/>
        <v>0.010560514280886939</v>
      </c>
      <c r="E104" s="171">
        <f t="shared" si="35"/>
        <v>59.64075518443854</v>
      </c>
      <c r="F104" s="171"/>
      <c r="G104" s="171">
        <f t="shared" si="44"/>
        <v>0.1781797381512694</v>
      </c>
      <c r="H104" s="171">
        <f t="shared" si="45"/>
        <v>0.1781653513218848</v>
      </c>
      <c r="I104" s="91">
        <f t="shared" si="57"/>
        <v>0.11601698805867804</v>
      </c>
      <c r="J104" s="91">
        <f t="shared" si="58"/>
        <v>29.745695056150083</v>
      </c>
      <c r="K104" s="172">
        <f t="shared" si="51"/>
        <v>0.011092343621208756</v>
      </c>
      <c r="L104" s="177">
        <f t="shared" si="36"/>
        <v>0.3265847604745689</v>
      </c>
      <c r="M104" s="178">
        <f t="shared" si="37"/>
        <v>0.005267033196745029</v>
      </c>
      <c r="N104" s="403">
        <f t="shared" si="47"/>
        <v>0</v>
      </c>
      <c r="O104" s="177">
        <f t="shared" si="52"/>
        <v>0.0003298493262643201</v>
      </c>
      <c r="P104" s="174">
        <f t="shared" si="59"/>
        <v>3.265847604745689E-05</v>
      </c>
      <c r="Q104" s="179">
        <f t="shared" si="38"/>
        <v>0.00017706875521996052</v>
      </c>
      <c r="R104" s="179">
        <f t="shared" si="39"/>
        <v>0.010856354729902897</v>
      </c>
      <c r="S104" s="180">
        <f t="shared" si="40"/>
        <v>0.016310148261113818</v>
      </c>
      <c r="T104" s="179">
        <f t="shared" si="41"/>
        <v>0.989143645270097</v>
      </c>
      <c r="U104" s="181">
        <f t="shared" si="42"/>
        <v>0.01770687552199605</v>
      </c>
    </row>
    <row r="105" spans="1:21" ht="12.75">
      <c r="A105" s="91">
        <f t="shared" si="53"/>
        <v>1990.1999999999907</v>
      </c>
      <c r="B105" s="171">
        <f t="shared" si="48"/>
        <v>58.86127931434772</v>
      </c>
      <c r="C105" s="171">
        <f t="shared" si="49"/>
        <v>0.6352250498099082</v>
      </c>
      <c r="D105" s="172">
        <f t="shared" si="50"/>
        <v>0.010819135396688538</v>
      </c>
      <c r="E105" s="171">
        <f t="shared" si="35"/>
        <v>59.50732349955432</v>
      </c>
      <c r="F105" s="171"/>
      <c r="G105" s="171">
        <f t="shared" si="44"/>
        <v>0.1777811043210935</v>
      </c>
      <c r="H105" s="171">
        <f t="shared" si="45"/>
        <v>0.17776636516626632</v>
      </c>
      <c r="I105" s="91">
        <f t="shared" si="57"/>
        <v>0.11615739483261346</v>
      </c>
      <c r="J105" s="91">
        <f t="shared" si="58"/>
        <v>29.745695056150083</v>
      </c>
      <c r="K105" s="172">
        <f t="shared" si="51"/>
        <v>0.011234085243385929</v>
      </c>
      <c r="L105" s="177">
        <f t="shared" si="36"/>
        <v>0.33206512019983514</v>
      </c>
      <c r="M105" s="178">
        <f t="shared" si="37"/>
        <v>0.005408119259195163</v>
      </c>
      <c r="N105" s="403">
        <f t="shared" si="47"/>
        <v>0</v>
      </c>
      <c r="O105" s="177">
        <f t="shared" si="52"/>
        <v>0.0003354682367153095</v>
      </c>
      <c r="P105" s="174">
        <f t="shared" si="59"/>
        <v>3.3206512019983514E-05</v>
      </c>
      <c r="Q105" s="179">
        <f t="shared" si="38"/>
        <v>0.0001818118302156468</v>
      </c>
      <c r="R105" s="179">
        <f t="shared" si="39"/>
        <v>0.010856549197872012</v>
      </c>
      <c r="S105" s="180">
        <f t="shared" si="40"/>
        <v>0.01674674216474639</v>
      </c>
      <c r="T105" s="179">
        <f t="shared" si="41"/>
        <v>0.989143450802128</v>
      </c>
      <c r="U105" s="181">
        <f t="shared" si="42"/>
        <v>0.01818118302156468</v>
      </c>
    </row>
    <row r="106" spans="1:21" ht="12.75">
      <c r="A106" s="91">
        <f t="shared" si="53"/>
        <v>1990.2999999999906</v>
      </c>
      <c r="B106" s="171">
        <f t="shared" si="48"/>
        <v>58.72997845502541</v>
      </c>
      <c r="C106" s="171">
        <f t="shared" si="49"/>
        <v>0.6335275147390349</v>
      </c>
      <c r="D106" s="172">
        <f t="shared" si="50"/>
        <v>0.011084195367068941</v>
      </c>
      <c r="E106" s="171">
        <f t="shared" si="35"/>
        <v>59.374590165131515</v>
      </c>
      <c r="F106" s="171"/>
      <c r="G106" s="171">
        <f t="shared" si="44"/>
        <v>0.1773845568478387</v>
      </c>
      <c r="H106" s="171">
        <f t="shared" si="45"/>
        <v>0.17736945659577047</v>
      </c>
      <c r="I106" s="91">
        <f t="shared" si="57"/>
        <v>0.11629797153047552</v>
      </c>
      <c r="J106" s="91">
        <f t="shared" si="58"/>
        <v>29.745695056150083</v>
      </c>
      <c r="K106" s="172">
        <f t="shared" si="51"/>
        <v>0.011212504492788256</v>
      </c>
      <c r="L106" s="177">
        <f t="shared" si="36"/>
        <v>0.34081976504888756</v>
      </c>
      <c r="M106" s="178">
        <f t="shared" si="37"/>
        <v>0.005552999935067323</v>
      </c>
      <c r="N106" s="403">
        <f t="shared" si="47"/>
        <v>0</v>
      </c>
      <c r="O106" s="177">
        <f t="shared" si="52"/>
        <v>0.0003435372825800172</v>
      </c>
      <c r="P106" s="174">
        <f t="shared" si="59"/>
        <v>3.408197650488876E-05</v>
      </c>
      <c r="Q106" s="179">
        <f t="shared" si="38"/>
        <v>0.0001866824737019958</v>
      </c>
      <c r="R106" s="179">
        <f t="shared" si="39"/>
        <v>0.01085669321360066</v>
      </c>
      <c r="S106" s="180">
        <f t="shared" si="40"/>
        <v>0.01719515049648178</v>
      </c>
      <c r="T106" s="179">
        <f t="shared" si="41"/>
        <v>0.9891433067863993</v>
      </c>
      <c r="U106" s="181">
        <f t="shared" si="42"/>
        <v>0.018668247370199578</v>
      </c>
    </row>
    <row r="107" spans="1:21" ht="12.75">
      <c r="A107" s="91">
        <f t="shared" si="53"/>
        <v>1990.3999999999905</v>
      </c>
      <c r="B107" s="171">
        <f t="shared" si="48"/>
        <v>58.599368027970236</v>
      </c>
      <c r="C107" s="171">
        <f t="shared" si="49"/>
        <v>0.6318285424566569</v>
      </c>
      <c r="D107" s="172">
        <f t="shared" si="50"/>
        <v>0.011355531317619006</v>
      </c>
      <c r="E107" s="171">
        <f t="shared" si="35"/>
        <v>59.242552101744515</v>
      </c>
      <c r="F107" s="171"/>
      <c r="G107" s="171">
        <f t="shared" si="44"/>
        <v>0.17699008653156686</v>
      </c>
      <c r="H107" s="171">
        <f t="shared" si="45"/>
        <v>0.17697461663234676</v>
      </c>
      <c r="I107" s="91">
        <f t="shared" si="57"/>
        <v>0.11643871835791056</v>
      </c>
      <c r="J107" s="91">
        <f t="shared" si="58"/>
        <v>29.745695056150083</v>
      </c>
      <c r="K107" s="172">
        <f t="shared" si="51"/>
        <v>0.011196549013996197</v>
      </c>
      <c r="L107" s="177">
        <f t="shared" si="36"/>
        <v>0.3498054141351603</v>
      </c>
      <c r="M107" s="178">
        <f t="shared" si="37"/>
        <v>0.005701614123482546</v>
      </c>
      <c r="N107" s="403">
        <f t="shared" si="47"/>
        <v>0</v>
      </c>
      <c r="O107" s="177">
        <f t="shared" si="52"/>
        <v>0.0003517978248209224</v>
      </c>
      <c r="P107" s="174">
        <f t="shared" si="59"/>
        <v>3.498054141351603E-05</v>
      </c>
      <c r="Q107" s="179">
        <f t="shared" si="38"/>
        <v>0.00019167863157071215</v>
      </c>
      <c r="R107" s="179">
        <f t="shared" si="39"/>
        <v>0.01085679213599132</v>
      </c>
      <c r="S107" s="180">
        <f t="shared" si="40"/>
        <v>0.01765518112254161</v>
      </c>
      <c r="T107" s="179">
        <f t="shared" si="41"/>
        <v>0.9891432078640087</v>
      </c>
      <c r="U107" s="181">
        <f t="shared" si="42"/>
        <v>0.019167863157071214</v>
      </c>
    </row>
    <row r="108" spans="1:21" ht="12.75">
      <c r="A108" s="91">
        <f t="shared" si="53"/>
        <v>1990.4999999999905</v>
      </c>
      <c r="B108" s="171">
        <f t="shared" si="48"/>
        <v>58.46944473317557</v>
      </c>
      <c r="C108" s="171">
        <f t="shared" si="49"/>
        <v>0.6301285344371953</v>
      </c>
      <c r="D108" s="172">
        <f t="shared" si="50"/>
        <v>0.011633279774229038</v>
      </c>
      <c r="E108" s="171">
        <f t="shared" si="35"/>
        <v>59.111206547387</v>
      </c>
      <c r="F108" s="171"/>
      <c r="G108" s="171">
        <f t="shared" si="44"/>
        <v>0.17659768512064605</v>
      </c>
      <c r="H108" s="171">
        <f t="shared" si="45"/>
        <v>0.17658183683837084</v>
      </c>
      <c r="I108" s="91">
        <f t="shared" si="57"/>
        <v>0.11657963552081381</v>
      </c>
      <c r="J108" s="91">
        <f t="shared" si="58"/>
        <v>29.745695056150083</v>
      </c>
      <c r="K108" s="172">
        <f t="shared" si="51"/>
        <v>0.011185602425797752</v>
      </c>
      <c r="L108" s="177">
        <f t="shared" si="36"/>
        <v>0.35902420166848986</v>
      </c>
      <c r="M108" s="178">
        <f t="shared" si="37"/>
        <v>0.00585405057482103</v>
      </c>
      <c r="N108" s="403">
        <f t="shared" si="47"/>
        <v>0</v>
      </c>
      <c r="O108" s="177">
        <f t="shared" si="52"/>
        <v>0.00036024425412902665</v>
      </c>
      <c r="P108" s="174">
        <f t="shared" si="59"/>
        <v>3.590242016684899E-05</v>
      </c>
      <c r="Q108" s="179">
        <f t="shared" si="38"/>
        <v>0.0001968032874595974</v>
      </c>
      <c r="R108" s="179">
        <f t="shared" si="39"/>
        <v>0.01085685526816223</v>
      </c>
      <c r="S108" s="180">
        <f t="shared" si="40"/>
        <v>0.018127098740712125</v>
      </c>
      <c r="T108" s="179">
        <f t="shared" si="41"/>
        <v>0.9891431447318377</v>
      </c>
      <c r="U108" s="181">
        <f t="shared" si="42"/>
        <v>0.01968032874595974</v>
      </c>
    </row>
    <row r="109" spans="1:21" ht="12.75">
      <c r="A109" s="91">
        <f t="shared" si="53"/>
        <v>1990.5999999999904</v>
      </c>
      <c r="B109" s="171">
        <f t="shared" si="48"/>
        <v>58.340205404259805</v>
      </c>
      <c r="C109" s="171">
        <f t="shared" si="49"/>
        <v>0.6284277670041944</v>
      </c>
      <c r="D109" s="172">
        <f t="shared" si="50"/>
        <v>0.011917580338518384</v>
      </c>
      <c r="E109" s="171">
        <f t="shared" si="35"/>
        <v>58.98055075160252</v>
      </c>
      <c r="F109" s="171"/>
      <c r="G109" s="171">
        <f t="shared" si="44"/>
        <v>0.17620734439795016</v>
      </c>
      <c r="H109" s="171">
        <f t="shared" si="45"/>
        <v>0.17619110880653413</v>
      </c>
      <c r="I109" s="91">
        <f t="shared" si="57"/>
        <v>0.11672072322532968</v>
      </c>
      <c r="J109" s="91">
        <f t="shared" si="58"/>
        <v>29.745695056150083</v>
      </c>
      <c r="K109" s="172">
        <f t="shared" si="51"/>
        <v>0.011178621856105062</v>
      </c>
      <c r="L109" s="177">
        <f t="shared" si="36"/>
        <v>0.36848206536772354</v>
      </c>
      <c r="M109" s="178">
        <f t="shared" si="37"/>
        <v>0.006010400141051682</v>
      </c>
      <c r="N109" s="403">
        <f t="shared" si="47"/>
        <v>0</v>
      </c>
      <c r="O109" s="177">
        <f t="shared" si="52"/>
        <v>0.00036888043092331963</v>
      </c>
      <c r="P109" s="174">
        <f t="shared" si="59"/>
        <v>3.6848206536772355E-05</v>
      </c>
      <c r="Q109" s="179">
        <f t="shared" si="38"/>
        <v>0.00020205949565831375</v>
      </c>
      <c r="R109" s="179">
        <f t="shared" si="39"/>
        <v>0.01085688992697842</v>
      </c>
      <c r="S109" s="180">
        <f t="shared" si="40"/>
        <v>0.01861117659084059</v>
      </c>
      <c r="T109" s="179">
        <f t="shared" si="41"/>
        <v>0.9891431100730215</v>
      </c>
      <c r="U109" s="181">
        <f t="shared" si="42"/>
        <v>0.020205949565831376</v>
      </c>
    </row>
    <row r="110" spans="1:21" ht="12.75">
      <c r="A110" s="91">
        <f t="shared" si="53"/>
        <v>1990.6999999999903</v>
      </c>
      <c r="B110" s="171">
        <f t="shared" si="48"/>
        <v>58.2116469819634</v>
      </c>
      <c r="C110" s="171">
        <f t="shared" si="49"/>
        <v>0.6267264177797265</v>
      </c>
      <c r="D110" s="172">
        <f t="shared" si="50"/>
        <v>0.012208575312936157</v>
      </c>
      <c r="E110" s="171">
        <f t="shared" si="35"/>
        <v>58.85058197505606</v>
      </c>
      <c r="F110" s="171"/>
      <c r="G110" s="171">
        <f t="shared" si="44"/>
        <v>0.17581905617957874</v>
      </c>
      <c r="H110" s="171">
        <f t="shared" si="45"/>
        <v>0.17580242415907443</v>
      </c>
      <c r="I110" s="91">
        <f t="shared" si="57"/>
        <v>0.11686198167785208</v>
      </c>
      <c r="J110" s="91">
        <f t="shared" si="58"/>
        <v>29.745695056150083</v>
      </c>
      <c r="K110" s="172">
        <f t="shared" si="51"/>
        <v>0.011174791437288858</v>
      </c>
      <c r="L110" s="177">
        <f t="shared" si="36"/>
        <v>0.37818507664135714</v>
      </c>
      <c r="M110" s="178">
        <f t="shared" si="37"/>
        <v>0.006170755600727347</v>
      </c>
      <c r="N110" s="403">
        <f t="shared" si="47"/>
        <v>0</v>
      </c>
      <c r="O110" s="177">
        <f t="shared" si="52"/>
        <v>0.00037771023394428047</v>
      </c>
      <c r="P110" s="174">
        <f t="shared" si="59"/>
        <v>3.7818507664135715E-05</v>
      </c>
      <c r="Q110" s="179">
        <f t="shared" si="38"/>
        <v>0.00020745037522501965</v>
      </c>
      <c r="R110" s="179">
        <f t="shared" si="39"/>
        <v>0.010856901863153648</v>
      </c>
      <c r="S110" s="180">
        <f t="shared" si="40"/>
        <v>0.01910769553228334</v>
      </c>
      <c r="T110" s="179">
        <f t="shared" si="41"/>
        <v>0.9891430981368464</v>
      </c>
      <c r="U110" s="181">
        <f t="shared" si="42"/>
        <v>0.020745037522501966</v>
      </c>
    </row>
    <row r="111" spans="1:21" ht="12.75">
      <c r="A111" s="91">
        <f t="shared" si="53"/>
        <v>1990.7999999999902</v>
      </c>
      <c r="B111" s="171">
        <f t="shared" si="48"/>
        <v>58.083766493416576</v>
      </c>
      <c r="C111" s="171">
        <f t="shared" si="49"/>
        <v>0.6250245863683819</v>
      </c>
      <c r="D111" s="172">
        <f t="shared" si="50"/>
        <v>0.012506409689422541</v>
      </c>
      <c r="E111" s="171">
        <f t="shared" si="35"/>
        <v>58.72129748947438</v>
      </c>
      <c r="F111" s="171"/>
      <c r="G111" s="171">
        <f t="shared" si="44"/>
        <v>0.17543281231467922</v>
      </c>
      <c r="H111" s="171">
        <f t="shared" si="45"/>
        <v>0.17541577454761315</v>
      </c>
      <c r="I111" s="91">
        <f t="shared" si="57"/>
        <v>0.11700341108502467</v>
      </c>
      <c r="J111" s="91">
        <f t="shared" si="58"/>
        <v>29.745695056150083</v>
      </c>
      <c r="K111" s="172">
        <f t="shared" si="51"/>
        <v>0.011173472576988383</v>
      </c>
      <c r="L111" s="177">
        <f t="shared" si="36"/>
        <v>0.38813944273714907</v>
      </c>
      <c r="M111" s="178">
        <f t="shared" si="37"/>
        <v>0.00633521166550391</v>
      </c>
      <c r="N111" s="403">
        <f t="shared" si="47"/>
        <v>0</v>
      </c>
      <c r="O111" s="177">
        <f t="shared" si="52"/>
        <v>0.0003867375552638035</v>
      </c>
      <c r="P111" s="174">
        <f t="shared" si="59"/>
        <v>3.881394427371491E-05</v>
      </c>
      <c r="Q111" s="179">
        <f t="shared" si="38"/>
        <v>0.0002129791102055311</v>
      </c>
      <c r="R111" s="179">
        <f t="shared" si="39"/>
        <v>0.010856895595198316</v>
      </c>
      <c r="S111" s="180">
        <f t="shared" si="40"/>
        <v>0.01961694375137267</v>
      </c>
      <c r="T111" s="179">
        <f t="shared" si="41"/>
        <v>0.9891431044048017</v>
      </c>
      <c r="U111" s="181">
        <f t="shared" si="42"/>
        <v>0.02129791102055311</v>
      </c>
    </row>
    <row r="112" spans="1:21" ht="12.75">
      <c r="A112" s="91">
        <f t="shared" si="53"/>
        <v>1990.89999999999</v>
      </c>
      <c r="B112" s="171">
        <f t="shared" si="48"/>
        <v>57.95656103591921</v>
      </c>
      <c r="C112" s="171">
        <f t="shared" si="49"/>
        <v>0.6233223105244835</v>
      </c>
      <c r="D112" s="172">
        <f t="shared" si="50"/>
        <v>0.012811231142696137</v>
      </c>
      <c r="E112" s="171">
        <f t="shared" si="35"/>
        <v>58.59269457758639</v>
      </c>
      <c r="F112" s="171"/>
      <c r="G112" s="171">
        <f t="shared" si="44"/>
        <v>0.17504860468526826</v>
      </c>
      <c r="H112" s="171">
        <f t="shared" si="45"/>
        <v>0.1750311516529865</v>
      </c>
      <c r="I112" s="91">
        <f t="shared" si="57"/>
        <v>0.11714501165374121</v>
      </c>
      <c r="J112" s="91">
        <f t="shared" si="58"/>
        <v>29.745695056150083</v>
      </c>
      <c r="K112" s="172">
        <f t="shared" si="51"/>
        <v>0.01117416512114798</v>
      </c>
      <c r="L112" s="177">
        <f t="shared" si="36"/>
        <v>0.39835151066879854</v>
      </c>
      <c r="M112" s="178">
        <f t="shared" si="37"/>
        <v>0.00650386498883203</v>
      </c>
      <c r="N112" s="403">
        <f t="shared" si="47"/>
        <v>0</v>
      </c>
      <c r="O112" s="177">
        <f t="shared" si="52"/>
        <v>0.0003959663050787729</v>
      </c>
      <c r="P112" s="174">
        <f>O101*$Y$6+O90*$Y$7+O79*$Y$8+O68*$Y$9+O57*$Y$10+O46*$Y$11+O35*$Y$12+O24*$Y$13+O13*$Y$14</f>
        <v>3.983515106687985E-05</v>
      </c>
      <c r="Q112" s="179">
        <f t="shared" si="38"/>
        <v>0.0002186489499255228</v>
      </c>
      <c r="R112" s="179">
        <f t="shared" si="39"/>
        <v>0.010856874671036573</v>
      </c>
      <c r="S112" s="180">
        <f t="shared" si="40"/>
        <v>0.02013921653796221</v>
      </c>
      <c r="T112" s="179">
        <f t="shared" si="41"/>
        <v>0.9891431253289633</v>
      </c>
      <c r="U112" s="181">
        <f t="shared" si="42"/>
        <v>0.02186489499255228</v>
      </c>
    </row>
    <row r="113" spans="1:23" ht="12.75">
      <c r="A113" s="91">
        <f t="shared" si="53"/>
        <v>1990.99999999999</v>
      </c>
      <c r="B113" s="171">
        <f t="shared" si="48"/>
        <v>57.83002776421273</v>
      </c>
      <c r="C113" s="171">
        <f t="shared" si="49"/>
        <v>0.6216195788239687</v>
      </c>
      <c r="D113" s="172">
        <f t="shared" si="50"/>
        <v>0.013123190026683489</v>
      </c>
      <c r="E113" s="171">
        <f t="shared" si="35"/>
        <v>58.46477053306338</v>
      </c>
      <c r="F113" s="171"/>
      <c r="G113" s="171">
        <f t="shared" si="44"/>
        <v>0.17466642520605352</v>
      </c>
      <c r="H113" s="171">
        <f t="shared" si="45"/>
        <v>0.17464854718507145</v>
      </c>
      <c r="I113" s="91">
        <f t="shared" si="57"/>
        <v>0.11728678359114585</v>
      </c>
      <c r="J113" s="91">
        <f t="shared" si="58"/>
        <v>29.745695056150083</v>
      </c>
      <c r="K113" s="172">
        <f t="shared" si="51"/>
        <v>0.01117647733168935</v>
      </c>
      <c r="L113" s="177">
        <f t="shared" si="36"/>
        <v>0.4088277709894461</v>
      </c>
      <c r="M113" s="178">
        <f t="shared" si="37"/>
        <v>0.006676814176100786</v>
      </c>
      <c r="N113" s="403">
        <f t="shared" si="47"/>
        <v>0</v>
      </c>
      <c r="O113" s="177">
        <f t="shared" si="52"/>
        <v>0.0004054004152178075</v>
      </c>
      <c r="P113" s="174">
        <f aca="true" t="shared" si="60" ref="P113:P122">O102*$Y$6+O91*$Y$7+O80*$Y$8+O69*$Y$9+O58*$Y$10+O47*$Y$11+O36*$Y$12+O25*$Y$13+O14*$Y$14+O3*$Y$15</f>
        <v>4.0882777098944614E-05</v>
      </c>
      <c r="Q113" s="179">
        <f t="shared" si="38"/>
        <v>0.00022446320933154054</v>
      </c>
      <c r="R113" s="179">
        <f t="shared" si="39"/>
        <v>0.010856841873546536</v>
      </c>
      <c r="S113" s="180">
        <f t="shared" si="40"/>
        <v>0.020674816115583392</v>
      </c>
      <c r="T113" s="179">
        <f t="shared" si="41"/>
        <v>0.9891431581264535</v>
      </c>
      <c r="U113" s="181">
        <f t="shared" si="42"/>
        <v>0.022446320933154053</v>
      </c>
      <c r="V113">
        <f>IF(ISNUMBER('Set-up'!$N$18)=FALSE,"",('Set-up'!$N$18-'EPP model'!U113)^2)</f>
      </c>
      <c r="W113" t="e">
        <f>IF(ISNUMBER('Set-up'!$N$18)=FALSE,NA()=FALSE,('Set-up'!$N$18))</f>
        <v>#N/A</v>
      </c>
    </row>
    <row r="114" spans="1:21" ht="12.75">
      <c r="A114" s="91">
        <f t="shared" si="53"/>
        <v>1991.09999999999</v>
      </c>
      <c r="B114" s="171">
        <f t="shared" si="48"/>
        <v>57.70416388046982</v>
      </c>
      <c r="C114" s="171">
        <f t="shared" si="49"/>
        <v>0.6199163406163101</v>
      </c>
      <c r="D114" s="172">
        <f t="shared" si="50"/>
        <v>0.013442439373048292</v>
      </c>
      <c r="E114" s="171">
        <f t="shared" si="35"/>
        <v>58.33752266045918</v>
      </c>
      <c r="F114" s="171"/>
      <c r="G114" s="171">
        <f t="shared" si="44"/>
        <v>0.17428626582425485</v>
      </c>
      <c r="H114" s="171">
        <f t="shared" si="45"/>
        <v>0.17426795288260932</v>
      </c>
      <c r="I114" s="91">
        <f t="shared" si="57"/>
        <v>0.11742872710463342</v>
      </c>
      <c r="J114" s="91">
        <f t="shared" si="58"/>
        <v>29.745695056150083</v>
      </c>
      <c r="K114" s="172">
        <f t="shared" si="51"/>
        <v>0.011180102548371677</v>
      </c>
      <c r="L114" s="177">
        <f t="shared" si="36"/>
        <v>1.2586124174962725</v>
      </c>
      <c r="M114" s="178">
        <f t="shared" si="37"/>
        <v>0.0068541597957243895</v>
      </c>
      <c r="N114" s="403">
        <f t="shared" si="47"/>
        <v>0</v>
      </c>
      <c r="O114" s="177">
        <f t="shared" si="52"/>
        <v>0.00041504384160336743</v>
      </c>
      <c r="P114" s="174">
        <f t="shared" si="60"/>
        <v>0.00012586124174962724</v>
      </c>
      <c r="Q114" s="179">
        <f t="shared" si="38"/>
        <v>0.00023042526936371772</v>
      </c>
      <c r="R114" s="179">
        <f t="shared" si="39"/>
        <v>0.01085679938237496</v>
      </c>
      <c r="S114" s="180">
        <f t="shared" si="40"/>
        <v>0.021224051513542057</v>
      </c>
      <c r="T114" s="179">
        <f t="shared" si="41"/>
        <v>0.9891432006176251</v>
      </c>
      <c r="U114" s="181">
        <f t="shared" si="42"/>
        <v>0.023042526936371772</v>
      </c>
    </row>
    <row r="115" spans="1:21" ht="12.75">
      <c r="A115" s="91">
        <f t="shared" si="53"/>
        <v>1991.1999999999898</v>
      </c>
      <c r="B115" s="171">
        <f t="shared" si="48"/>
        <v>57.57896662640827</v>
      </c>
      <c r="C115" s="171">
        <f t="shared" si="49"/>
        <v>0.6182125138508621</v>
      </c>
      <c r="D115" s="172">
        <f t="shared" si="50"/>
        <v>0.013685231135361044</v>
      </c>
      <c r="E115" s="171">
        <f t="shared" si="35"/>
        <v>58.21086437139449</v>
      </c>
      <c r="F115" s="171"/>
      <c r="G115" s="171">
        <f t="shared" si="44"/>
        <v>0.17390786785275963</v>
      </c>
      <c r="H115" s="171">
        <f t="shared" si="45"/>
        <v>0.17388922415036068</v>
      </c>
      <c r="I115" s="91">
        <f t="shared" si="57"/>
        <v>0.11757084240184977</v>
      </c>
      <c r="J115" s="91">
        <f t="shared" si="58"/>
        <v>29.745695056150083</v>
      </c>
      <c r="K115" s="172">
        <f t="shared" si="51"/>
        <v>0.01118480096903519</v>
      </c>
      <c r="L115" s="177">
        <f t="shared" si="36"/>
        <v>0.457675965560695</v>
      </c>
      <c r="M115" s="178">
        <f t="shared" si="37"/>
        <v>0.0069931397948013035</v>
      </c>
      <c r="N115" s="403">
        <f t="shared" si="47"/>
        <v>0</v>
      </c>
      <c r="O115" s="177">
        <f t="shared" si="52"/>
        <v>0.0004249005658564899</v>
      </c>
      <c r="P115" s="174">
        <f t="shared" si="60"/>
        <v>4.57675965560695E-05</v>
      </c>
      <c r="Q115" s="179">
        <f t="shared" si="38"/>
        <v>0.0002350975420678709</v>
      </c>
      <c r="R115" s="179">
        <f t="shared" si="39"/>
        <v>0.010855323173945946</v>
      </c>
      <c r="S115" s="180">
        <f t="shared" si="40"/>
        <v>0.02165735080390169</v>
      </c>
      <c r="T115" s="179">
        <f t="shared" si="41"/>
        <v>0.989144676826054</v>
      </c>
      <c r="U115" s="181">
        <f t="shared" si="42"/>
        <v>0.023509754206787088</v>
      </c>
    </row>
    <row r="116" spans="1:21" ht="12.75">
      <c r="A116" s="91">
        <f t="shared" si="53"/>
        <v>1991.2999999999897</v>
      </c>
      <c r="B116" s="171">
        <f t="shared" si="48"/>
        <v>57.45441457675206</v>
      </c>
      <c r="C116" s="171">
        <f t="shared" si="49"/>
        <v>0.6165293414983</v>
      </c>
      <c r="D116" s="172">
        <f t="shared" si="50"/>
        <v>0.014014524710113885</v>
      </c>
      <c r="E116" s="171">
        <f t="shared" si="35"/>
        <v>58.08495844296047</v>
      </c>
      <c r="F116" s="171"/>
      <c r="G116" s="171">
        <f t="shared" si="44"/>
        <v>0.1735317175962666</v>
      </c>
      <c r="H116" s="171">
        <f t="shared" si="45"/>
        <v>0.17351262528972283</v>
      </c>
      <c r="I116" s="91">
        <f t="shared" si="57"/>
        <v>0.11771312969069203</v>
      </c>
      <c r="J116" s="91">
        <f t="shared" si="58"/>
        <v>29.745695056150083</v>
      </c>
      <c r="K116" s="172">
        <f t="shared" si="51"/>
        <v>0.011349248868684738</v>
      </c>
      <c r="L116" s="177">
        <f t="shared" si="36"/>
        <v>0.46530103290747904</v>
      </c>
      <c r="M116" s="178">
        <f t="shared" si="37"/>
        <v>0.007176931680054425</v>
      </c>
      <c r="N116" s="403">
        <f t="shared" si="47"/>
        <v>0</v>
      </c>
      <c r="O116" s="177">
        <f t="shared" si="52"/>
        <v>0.00043232465322546156</v>
      </c>
      <c r="P116" s="174">
        <f t="shared" si="60"/>
        <v>4.6530103290747907E-05</v>
      </c>
      <c r="Q116" s="179">
        <f t="shared" si="38"/>
        <v>0.0002412763146568517</v>
      </c>
      <c r="R116" s="179">
        <f t="shared" si="39"/>
        <v>0.010855544759106767</v>
      </c>
      <c r="S116" s="180">
        <f t="shared" si="40"/>
        <v>0.022226089985437524</v>
      </c>
      <c r="T116" s="179">
        <f t="shared" si="41"/>
        <v>0.9891444552408932</v>
      </c>
      <c r="U116" s="181">
        <f t="shared" si="42"/>
        <v>0.024127631465685168</v>
      </c>
    </row>
    <row r="117" spans="1:21" ht="12.75">
      <c r="A117" s="91">
        <f t="shared" si="53"/>
        <v>1991.3999999999896</v>
      </c>
      <c r="B117" s="171">
        <f t="shared" si="48"/>
        <v>57.33052746333234</v>
      </c>
      <c r="C117" s="171">
        <f t="shared" si="49"/>
        <v>0.6148417476005511</v>
      </c>
      <c r="D117" s="172">
        <f t="shared" si="50"/>
        <v>0.014351832149184441</v>
      </c>
      <c r="E117" s="171">
        <f t="shared" si="35"/>
        <v>57.95972104308207</v>
      </c>
      <c r="F117" s="171"/>
      <c r="G117" s="171">
        <f t="shared" si="44"/>
        <v>0.17315756460225987</v>
      </c>
      <c r="H117" s="171">
        <f t="shared" si="45"/>
        <v>0.17313801277410126</v>
      </c>
      <c r="I117" s="91">
        <f t="shared" si="57"/>
        <v>0.11785558917930893</v>
      </c>
      <c r="J117" s="91">
        <f t="shared" si="58"/>
        <v>29.745695056150083</v>
      </c>
      <c r="K117" s="172">
        <f t="shared" si="51"/>
        <v>0.01132441293305108</v>
      </c>
      <c r="L117" s="177">
        <f t="shared" si="36"/>
        <v>0.47742247174203073</v>
      </c>
      <c r="M117" s="178">
        <f t="shared" si="37"/>
        <v>0.007365549987539939</v>
      </c>
      <c r="N117" s="403">
        <f t="shared" si="47"/>
        <v>0</v>
      </c>
      <c r="O117" s="177">
        <f t="shared" si="52"/>
        <v>0.0004424788962682243</v>
      </c>
      <c r="P117" s="174">
        <f t="shared" si="60"/>
        <v>4.774224717420307E-05</v>
      </c>
      <c r="Q117" s="179">
        <f t="shared" si="38"/>
        <v>0.00024761734340502734</v>
      </c>
      <c r="R117" s="179">
        <f t="shared" si="39"/>
        <v>0.010855704072178838</v>
      </c>
      <c r="S117" s="180">
        <f t="shared" si="40"/>
        <v>0.022809883334939534</v>
      </c>
      <c r="T117" s="179">
        <f t="shared" si="41"/>
        <v>0.9891442959278213</v>
      </c>
      <c r="U117" s="181">
        <f t="shared" si="42"/>
        <v>0.024761734340502734</v>
      </c>
    </row>
    <row r="118" spans="1:21" ht="12.75">
      <c r="A118" s="91">
        <f t="shared" si="53"/>
        <v>1991.4999999999895</v>
      </c>
      <c r="B118" s="171">
        <f t="shared" si="48"/>
        <v>57.2073018538707</v>
      </c>
      <c r="C118" s="171">
        <f t="shared" si="49"/>
        <v>0.6131503414114232</v>
      </c>
      <c r="D118" s="172">
        <f t="shared" si="50"/>
        <v>0.014696901906122073</v>
      </c>
      <c r="E118" s="171">
        <f aca="true" t="shared" si="61" ref="E118:E181">B118+C118+D118</f>
        <v>57.83514909718825</v>
      </c>
      <c r="F118" s="171"/>
      <c r="G118" s="171">
        <f t="shared" si="44"/>
        <v>0.1727853996853048</v>
      </c>
      <c r="H118" s="171">
        <f t="shared" si="45"/>
        <v>0.17276537776074874</v>
      </c>
      <c r="I118" s="91">
        <f t="shared" si="57"/>
        <v>0.11799822107610111</v>
      </c>
      <c r="J118" s="91">
        <f t="shared" si="58"/>
        <v>29.745695056150083</v>
      </c>
      <c r="K118" s="172">
        <f t="shared" si="51"/>
        <v>0.011306589849188906</v>
      </c>
      <c r="L118" s="177">
        <f aca="true" t="shared" si="62" ref="L118:L181">phi*P118</f>
        <v>0.4898598659667334</v>
      </c>
      <c r="M118" s="178">
        <f aca="true" t="shared" si="63" ref="M118:M181">MIN(1,J118*D118/E118)</f>
        <v>0.007558890556934897</v>
      </c>
      <c r="N118" s="403">
        <f t="shared" si="47"/>
        <v>0</v>
      </c>
      <c r="O118" s="177">
        <f t="shared" si="52"/>
        <v>0.0004528647626378273</v>
      </c>
      <c r="P118" s="174">
        <f t="shared" si="60"/>
        <v>4.898598659667334E-05</v>
      </c>
      <c r="Q118" s="179">
        <f aca="true" t="shared" si="64" ref="Q118:Q181">D118/E118</f>
        <v>0.0002541171266183627</v>
      </c>
      <c r="R118" s="179">
        <f aca="true" t="shared" si="65" ref="R118:R181">(C118+D118)/E118</f>
        <v>0.010855807465153904</v>
      </c>
      <c r="S118" s="180">
        <f aca="true" t="shared" si="66" ref="S118:S181">D118/(C118+D118)</f>
        <v>0.023408403974928094</v>
      </c>
      <c r="T118" s="179">
        <f aca="true" t="shared" si="67" ref="T118:T181">B118/E118</f>
        <v>0.9891441925348461</v>
      </c>
      <c r="U118" s="181">
        <f aca="true" t="shared" si="68" ref="U118:U181">Q118*100</f>
        <v>0.02541171266183627</v>
      </c>
    </row>
    <row r="119" spans="1:21" ht="12.75">
      <c r="A119" s="91">
        <f t="shared" si="53"/>
        <v>1991.5999999999894</v>
      </c>
      <c r="B119" s="171">
        <f t="shared" si="48"/>
        <v>57.08473441532272</v>
      </c>
      <c r="C119" s="171">
        <f t="shared" si="49"/>
        <v>0.6114556535916343</v>
      </c>
      <c r="D119" s="172">
        <f t="shared" si="50"/>
        <v>0.015049892908871848</v>
      </c>
      <c r="E119" s="171">
        <f t="shared" si="61"/>
        <v>57.711239961823225</v>
      </c>
      <c r="F119" s="171"/>
      <c r="G119" s="171">
        <f t="shared" si="44"/>
        <v>0.17241521494794498</v>
      </c>
      <c r="H119" s="171">
        <f t="shared" si="45"/>
        <v>0.17239471213569768</v>
      </c>
      <c r="I119" s="91">
        <f t="shared" si="57"/>
        <v>0.11814102558972144</v>
      </c>
      <c r="J119" s="91">
        <f t="shared" si="58"/>
        <v>29.745695056150083</v>
      </c>
      <c r="K119" s="172">
        <f t="shared" si="51"/>
        <v>0.011295037644136498</v>
      </c>
      <c r="L119" s="177">
        <f t="shared" si="62"/>
        <v>0.5026146894174296</v>
      </c>
      <c r="M119" s="178">
        <f t="shared" si="63"/>
        <v>0.007757059550118088</v>
      </c>
      <c r="N119" s="403">
        <f t="shared" si="47"/>
        <v>0</v>
      </c>
      <c r="O119" s="177">
        <f t="shared" si="52"/>
        <v>0.0004634736325676215</v>
      </c>
      <c r="P119" s="174">
        <f t="shared" si="60"/>
        <v>5.026146894174296E-05</v>
      </c>
      <c r="Q119" s="179">
        <f t="shared" si="64"/>
        <v>0.0002607792332798179</v>
      </c>
      <c r="R119" s="179">
        <f t="shared" si="65"/>
        <v>0.010855867018538298</v>
      </c>
      <c r="S119" s="180">
        <f t="shared" si="66"/>
        <v>0.024021962763037866</v>
      </c>
      <c r="T119" s="179">
        <f t="shared" si="67"/>
        <v>0.9891441329814618</v>
      </c>
      <c r="U119" s="181">
        <f t="shared" si="68"/>
        <v>0.026077923327981794</v>
      </c>
    </row>
    <row r="120" spans="1:21" ht="12.75">
      <c r="A120" s="91">
        <f t="shared" si="53"/>
        <v>1991.6999999999894</v>
      </c>
      <c r="B120" s="171">
        <f t="shared" si="48"/>
        <v>56.9628219878508</v>
      </c>
      <c r="C120" s="171">
        <f t="shared" si="49"/>
        <v>0.6097580492443884</v>
      </c>
      <c r="D120" s="172">
        <f t="shared" si="50"/>
        <v>0.015410967558647827</v>
      </c>
      <c r="E120" s="171">
        <f t="shared" si="61"/>
        <v>57.587991004653844</v>
      </c>
      <c r="F120" s="171"/>
      <c r="G120" s="171">
        <f t="shared" si="44"/>
        <v>0.17204700252595362</v>
      </c>
      <c r="H120" s="171">
        <f t="shared" si="45"/>
        <v>0.1720260078134784</v>
      </c>
      <c r="I120" s="91">
        <f t="shared" si="57"/>
        <v>0.11828400292907527</v>
      </c>
      <c r="J120" s="91">
        <f t="shared" si="58"/>
        <v>29.745695056150083</v>
      </c>
      <c r="K120" s="172">
        <f t="shared" si="51"/>
        <v>0.011288388979126207</v>
      </c>
      <c r="L120" s="177">
        <f t="shared" si="62"/>
        <v>0.5156948628532589</v>
      </c>
      <c r="M120" s="178">
        <f t="shared" si="63"/>
        <v>0.007960165540116075</v>
      </c>
      <c r="N120" s="403">
        <f t="shared" si="47"/>
        <v>0</v>
      </c>
      <c r="O120" s="177">
        <f t="shared" si="52"/>
        <v>0.0004743097917166685</v>
      </c>
      <c r="P120" s="174">
        <f t="shared" si="60"/>
        <v>5.15694862853259E-05</v>
      </c>
      <c r="Q120" s="179">
        <f t="shared" si="64"/>
        <v>0.00026760731343106626</v>
      </c>
      <c r="R120" s="179">
        <f t="shared" si="65"/>
        <v>0.010855892103485856</v>
      </c>
      <c r="S120" s="180">
        <f t="shared" si="66"/>
        <v>0.02465088183265352</v>
      </c>
      <c r="T120" s="179">
        <f t="shared" si="67"/>
        <v>0.9891441078965141</v>
      </c>
      <c r="U120" s="181">
        <f t="shared" si="68"/>
        <v>0.026760731343106626</v>
      </c>
    </row>
    <row r="121" spans="1:21" ht="12.75">
      <c r="A121" s="91">
        <f t="shared" si="53"/>
        <v>1991.7999999999893</v>
      </c>
      <c r="B121" s="171">
        <f t="shared" si="48"/>
        <v>56.84156154779831</v>
      </c>
      <c r="C121" s="171">
        <f t="shared" si="49"/>
        <v>0.6080577649341249</v>
      </c>
      <c r="D121" s="172">
        <f t="shared" si="50"/>
        <v>0.015780291046103758</v>
      </c>
      <c r="E121" s="171">
        <f t="shared" si="61"/>
        <v>57.465399603778536</v>
      </c>
      <c r="F121" s="171"/>
      <c r="G121" s="171">
        <f t="shared" si="44"/>
        <v>0.1716807545862686</v>
      </c>
      <c r="H121" s="171">
        <f t="shared" si="45"/>
        <v>0.17165925673598584</v>
      </c>
      <c r="I121" s="91">
        <f t="shared" si="57"/>
        <v>0.1184271533033208</v>
      </c>
      <c r="J121" s="91">
        <f t="shared" si="58"/>
        <v>29.745695056150083</v>
      </c>
      <c r="K121" s="172">
        <f t="shared" si="51"/>
        <v>0.011285589601034795</v>
      </c>
      <c r="L121" s="177">
        <f t="shared" si="62"/>
        <v>0.5291084733721451</v>
      </c>
      <c r="M121" s="178">
        <f t="shared" si="63"/>
        <v>0.008168319172774597</v>
      </c>
      <c r="N121" s="403">
        <f t="shared" si="47"/>
        <v>0</v>
      </c>
      <c r="O121" s="177">
        <f t="shared" si="52"/>
        <v>0.0004853775011403581</v>
      </c>
      <c r="P121" s="174">
        <f t="shared" si="60"/>
        <v>5.2910847337214506E-05</v>
      </c>
      <c r="Q121" s="179">
        <f t="shared" si="64"/>
        <v>0.0002746050867984594</v>
      </c>
      <c r="R121" s="179">
        <f t="shared" si="65"/>
        <v>0.010855889983913194</v>
      </c>
      <c r="S121" s="180">
        <f t="shared" si="66"/>
        <v>0.025295492788282033</v>
      </c>
      <c r="T121" s="179">
        <f t="shared" si="67"/>
        <v>0.9891441100160868</v>
      </c>
      <c r="U121" s="181">
        <f t="shared" si="68"/>
        <v>0.02746050867984594</v>
      </c>
    </row>
    <row r="122" spans="1:21" ht="12.75">
      <c r="A122" s="91">
        <f t="shared" si="53"/>
        <v>1991.8999999999892</v>
      </c>
      <c r="B122" s="171">
        <f t="shared" si="48"/>
        <v>56.72095017916118</v>
      </c>
      <c r="C122" s="171">
        <f t="shared" si="49"/>
        <v>0.6063549372151158</v>
      </c>
      <c r="D122" s="172">
        <f t="shared" si="50"/>
        <v>0.016158031291079792</v>
      </c>
      <c r="E122" s="171">
        <f t="shared" si="61"/>
        <v>57.34346314766737</v>
      </c>
      <c r="F122" s="171"/>
      <c r="G122" s="171">
        <f t="shared" si="44"/>
        <v>0.1713164633268137</v>
      </c>
      <c r="H122" s="171">
        <f t="shared" si="45"/>
        <v>0.17129445087238274</v>
      </c>
      <c r="I122" s="91">
        <f t="shared" si="57"/>
        <v>0.11857047692186937</v>
      </c>
      <c r="J122" s="91">
        <f t="shared" si="58"/>
        <v>29.745695056150083</v>
      </c>
      <c r="K122" s="172">
        <f t="shared" si="51"/>
        <v>0.011285826110181472</v>
      </c>
      <c r="L122" s="177">
        <f t="shared" si="62"/>
        <v>0.5428637761364403</v>
      </c>
      <c r="M122" s="178">
        <f t="shared" si="63"/>
        <v>0.008381633147173145</v>
      </c>
      <c r="N122" s="403">
        <f t="shared" si="47"/>
        <v>0</v>
      </c>
      <c r="O122" s="177">
        <f t="shared" si="52"/>
        <v>0.0004966809899465881</v>
      </c>
      <c r="P122" s="174">
        <f t="shared" si="60"/>
        <v>5.428637761364403E-05</v>
      </c>
      <c r="Q122" s="179">
        <f t="shared" si="64"/>
        <v>0.00028177634213459726</v>
      </c>
      <c r="R122" s="179">
        <f t="shared" si="65"/>
        <v>0.010855866289469445</v>
      </c>
      <c r="S122" s="180">
        <f t="shared" si="66"/>
        <v>0.025956136030150796</v>
      </c>
      <c r="T122" s="179">
        <f t="shared" si="67"/>
        <v>0.9891441337105306</v>
      </c>
      <c r="U122" s="181">
        <f t="shared" si="68"/>
        <v>0.028177634213459726</v>
      </c>
    </row>
    <row r="123" spans="1:23" ht="12.75">
      <c r="A123" s="91">
        <f t="shared" si="53"/>
        <v>1991.999999999989</v>
      </c>
      <c r="B123" s="171">
        <f t="shared" si="48"/>
        <v>56.6009850516096</v>
      </c>
      <c r="C123" s="171">
        <f t="shared" si="49"/>
        <v>0.6046496246012395</v>
      </c>
      <c r="D123" s="172">
        <f t="shared" si="50"/>
        <v>0.016544358891204394</v>
      </c>
      <c r="E123" s="171">
        <f t="shared" si="61"/>
        <v>57.22217903510204</v>
      </c>
      <c r="F123" s="171"/>
      <c r="G123" s="171">
        <f t="shared" si="44"/>
        <v>0.17095412097631912</v>
      </c>
      <c r="H123" s="171">
        <f t="shared" si="45"/>
        <v>0.17093158221899027</v>
      </c>
      <c r="I123" s="91">
        <f t="shared" si="57"/>
        <v>0.11871397399438571</v>
      </c>
      <c r="J123" s="91">
        <f t="shared" si="58"/>
        <v>29.745695056150083</v>
      </c>
      <c r="K123" s="172">
        <f t="shared" si="51"/>
        <v>0.01128847035050301</v>
      </c>
      <c r="L123" s="177">
        <f t="shared" si="62"/>
        <v>0.5569691998703454</v>
      </c>
      <c r="M123" s="178">
        <f t="shared" si="63"/>
        <v>0.008600222200126037</v>
      </c>
      <c r="N123" s="403">
        <f t="shared" si="47"/>
        <v>0</v>
      </c>
      <c r="O123" s="177">
        <f t="shared" si="52"/>
        <v>0.0005082244640714306</v>
      </c>
      <c r="P123" s="174">
        <f>O112*$Y$6+O101*$Y$7+O90*$Y$8+O79*$Y$9+O68*$Y$10+O57*$Y$11+O46*$Y$12+O35*$Y$13+O24*$Y$14+O13*$Y$15</f>
        <v>5.569691998703454E-05</v>
      </c>
      <c r="Q123" s="179">
        <f t="shared" si="64"/>
        <v>0.0002891249366972816</v>
      </c>
      <c r="R123" s="179">
        <f t="shared" si="65"/>
        <v>0.0108558253804243</v>
      </c>
      <c r="S123" s="180">
        <f t="shared" si="66"/>
        <v>0.026633160221851433</v>
      </c>
      <c r="T123" s="179">
        <f t="shared" si="67"/>
        <v>0.9891441746195758</v>
      </c>
      <c r="U123" s="181">
        <f t="shared" si="68"/>
        <v>0.028912493669728163</v>
      </c>
      <c r="V123">
        <f>IF(ISNUMBER('Set-up'!$N$19)=FALSE,"",('Set-up'!$N$19-'EPP model'!U123)^2)</f>
      </c>
      <c r="W123" t="e">
        <f>IF(ISNUMBER('Set-up'!$N$19)=FALSE,NA()=FALSE,('Set-up'!$N$19))</f>
        <v>#N/A</v>
      </c>
    </row>
    <row r="124" spans="1:21" ht="12.75">
      <c r="A124" s="91">
        <f t="shared" si="53"/>
        <v>1992.099999999989</v>
      </c>
      <c r="B124" s="171">
        <f t="shared" si="48"/>
        <v>56.48166340349419</v>
      </c>
      <c r="C124" s="171">
        <f t="shared" si="49"/>
        <v>0.6029418245450773</v>
      </c>
      <c r="D124" s="172">
        <f t="shared" si="50"/>
        <v>0.016939447076361802</v>
      </c>
      <c r="E124" s="171">
        <f t="shared" si="61"/>
        <v>57.101544675115626</v>
      </c>
      <c r="F124" s="171"/>
      <c r="G124" s="171">
        <f t="shared" si="44"/>
        <v>0.17059371979414173</v>
      </c>
      <c r="H124" s="171">
        <f t="shared" si="45"/>
        <v>0.1705706427991702</v>
      </c>
      <c r="I124" s="91">
        <f t="shared" si="57"/>
        <v>0.11885764473078834</v>
      </c>
      <c r="J124" s="91">
        <f t="shared" si="58"/>
        <v>29.745695056150083</v>
      </c>
      <c r="K124" s="172">
        <f t="shared" si="51"/>
        <v>0.011293037138692171</v>
      </c>
      <c r="L124" s="177">
        <f t="shared" si="62"/>
        <v>0.5714333519682931</v>
      </c>
      <c r="M124" s="178">
        <f t="shared" si="63"/>
        <v>0.008824203093280523</v>
      </c>
      <c r="N124" s="403">
        <f t="shared" si="47"/>
        <v>0</v>
      </c>
      <c r="O124" s="177">
        <f t="shared" si="52"/>
        <v>0.0005200121124793454</v>
      </c>
      <c r="P124" s="174">
        <f aca="true" t="shared" si="69" ref="P124:P133">O113*$Y$6+O102*$Y$7+O91*$Y$8+O80*$Y$9+O69*$Y$10+O58*$Y$11+O47*$Y$12+O36*$Y$13+O25*$Y$14+O14*$Y$15+O3*$Y$16</f>
        <v>5.7143335196829316E-05</v>
      </c>
      <c r="Q124" s="179">
        <f t="shared" si="64"/>
        <v>0.0002966547958157754</v>
      </c>
      <c r="R124" s="179">
        <f t="shared" si="65"/>
        <v>0.010855770630169626</v>
      </c>
      <c r="S124" s="180">
        <f t="shared" si="66"/>
        <v>0.0273269218669131</v>
      </c>
      <c r="T124" s="179">
        <f t="shared" si="67"/>
        <v>0.9891442293698304</v>
      </c>
      <c r="U124" s="181">
        <f t="shared" si="68"/>
        <v>0.02966547958157754</v>
      </c>
    </row>
    <row r="125" spans="1:21" ht="12.75">
      <c r="A125" s="91">
        <f t="shared" si="53"/>
        <v>1992.199999999989</v>
      </c>
      <c r="B125" s="171">
        <f t="shared" si="48"/>
        <v>56.362982528670955</v>
      </c>
      <c r="C125" s="171">
        <f t="shared" si="49"/>
        <v>0.6012314865941564</v>
      </c>
      <c r="D125" s="172">
        <f t="shared" si="50"/>
        <v>0.017343471666997904</v>
      </c>
      <c r="E125" s="171">
        <f t="shared" si="61"/>
        <v>56.98155748693211</v>
      </c>
      <c r="F125" s="171"/>
      <c r="G125" s="171">
        <f t="shared" si="44"/>
        <v>0.17023525207008405</v>
      </c>
      <c r="H125" s="171">
        <f t="shared" si="45"/>
        <v>0.17021162466320094</v>
      </c>
      <c r="I125" s="91">
        <f t="shared" si="57"/>
        <v>0.11900148934124981</v>
      </c>
      <c r="J125" s="91">
        <f t="shared" si="58"/>
        <v>29.745695056150083</v>
      </c>
      <c r="K125" s="172">
        <f t="shared" si="51"/>
        <v>0.011299151916769133</v>
      </c>
      <c r="L125" s="177">
        <f t="shared" si="62"/>
        <v>1.4253025793412033</v>
      </c>
      <c r="M125" s="178">
        <f t="shared" si="63"/>
        <v>0.009053694601798333</v>
      </c>
      <c r="N125" s="403">
        <f t="shared" si="47"/>
        <v>0</v>
      </c>
      <c r="O125" s="177">
        <f t="shared" si="52"/>
        <v>0.0005320481113218874</v>
      </c>
      <c r="P125" s="174">
        <f t="shared" si="69"/>
        <v>0.00014253025793412033</v>
      </c>
      <c r="Q125" s="179">
        <f t="shared" si="64"/>
        <v>0.00030436991251029554</v>
      </c>
      <c r="R125" s="179">
        <f t="shared" si="65"/>
        <v>0.01085570464448985</v>
      </c>
      <c r="S125" s="180">
        <f t="shared" si="66"/>
        <v>0.028037784969102673</v>
      </c>
      <c r="T125" s="179">
        <f t="shared" si="67"/>
        <v>0.9891442953555101</v>
      </c>
      <c r="U125" s="181">
        <f t="shared" si="68"/>
        <v>0.030436991251029555</v>
      </c>
    </row>
    <row r="126" spans="1:21" ht="12.75">
      <c r="A126" s="91">
        <f t="shared" si="53"/>
        <v>1992.2999999999888</v>
      </c>
      <c r="B126" s="171">
        <f t="shared" si="48"/>
        <v>56.24493976626686</v>
      </c>
      <c r="C126" s="171">
        <f t="shared" si="49"/>
        <v>0.5995185226041058</v>
      </c>
      <c r="D126" s="172">
        <f t="shared" si="50"/>
        <v>0.01767270727903906</v>
      </c>
      <c r="E126" s="171">
        <f t="shared" si="61"/>
        <v>56.86213099615001</v>
      </c>
      <c r="F126" s="171"/>
      <c r="G126" s="171">
        <f t="shared" si="44"/>
        <v>0.16987845945754798</v>
      </c>
      <c r="H126" s="171">
        <f t="shared" si="45"/>
        <v>0.16985438352548402</v>
      </c>
      <c r="I126" s="91">
        <f t="shared" si="57"/>
        <v>0.11914550803619701</v>
      </c>
      <c r="J126" s="91">
        <f t="shared" si="58"/>
        <v>29.745695056150083</v>
      </c>
      <c r="K126" s="172">
        <f t="shared" si="51"/>
        <v>0.011306525872124737</v>
      </c>
      <c r="L126" s="177">
        <f t="shared" si="62"/>
        <v>0.62854958772834</v>
      </c>
      <c r="M126" s="178">
        <f t="shared" si="63"/>
        <v>0.009244939511227476</v>
      </c>
      <c r="N126" s="403">
        <f t="shared" si="47"/>
        <v>0</v>
      </c>
      <c r="O126" s="177">
        <f t="shared" si="52"/>
        <v>0.00054433662646087</v>
      </c>
      <c r="P126" s="174">
        <f t="shared" si="69"/>
        <v>6.2854958772834E-05</v>
      </c>
      <c r="Q126" s="179">
        <f t="shared" si="64"/>
        <v>0.0003107992431770739</v>
      </c>
      <c r="R126" s="179">
        <f t="shared" si="65"/>
        <v>0.010854169885489049</v>
      </c>
      <c r="S126" s="180">
        <f t="shared" si="66"/>
        <v>0.028634086849200855</v>
      </c>
      <c r="T126" s="179">
        <f t="shared" si="67"/>
        <v>0.989145830114511</v>
      </c>
      <c r="U126" s="181">
        <f t="shared" si="68"/>
        <v>0.03107992431770739</v>
      </c>
    </row>
    <row r="127" spans="1:21" ht="12.75">
      <c r="A127" s="91">
        <f t="shared" si="53"/>
        <v>1992.3999999999887</v>
      </c>
      <c r="B127" s="171">
        <f t="shared" si="48"/>
        <v>56.12751287574608</v>
      </c>
      <c r="C127" s="171">
        <f t="shared" si="49"/>
        <v>0.5978250622169763</v>
      </c>
      <c r="D127" s="172">
        <f t="shared" si="50"/>
        <v>0.018090155182058743</v>
      </c>
      <c r="E127" s="171">
        <f t="shared" si="61"/>
        <v>56.74342809314511</v>
      </c>
      <c r="F127" s="171"/>
      <c r="G127" s="171">
        <f t="shared" si="44"/>
        <v>0.1695238285996757</v>
      </c>
      <c r="H127" s="171">
        <f t="shared" si="45"/>
        <v>0.16949918396881566</v>
      </c>
      <c r="I127" s="91">
        <f t="shared" si="57"/>
        <v>0.11928970102631152</v>
      </c>
      <c r="J127" s="91">
        <f t="shared" si="58"/>
        <v>29.745695056150083</v>
      </c>
      <c r="K127" s="172">
        <f t="shared" si="51"/>
        <v>0.011479384893461618</v>
      </c>
      <c r="L127" s="177">
        <f t="shared" si="62"/>
        <v>0.638985810141036</v>
      </c>
      <c r="M127" s="178">
        <f t="shared" si="63"/>
        <v>0.009483111219164396</v>
      </c>
      <c r="N127" s="403">
        <f t="shared" si="47"/>
        <v>0</v>
      </c>
      <c r="O127" s="177">
        <f t="shared" si="52"/>
        <v>0.000554251247733542</v>
      </c>
      <c r="P127" s="174">
        <f t="shared" si="69"/>
        <v>6.38985810141036E-05</v>
      </c>
      <c r="Q127" s="179">
        <f t="shared" si="64"/>
        <v>0.00031880617350723867</v>
      </c>
      <c r="R127" s="179">
        <f t="shared" si="65"/>
        <v>0.01085438857144834</v>
      </c>
      <c r="S127" s="180">
        <f t="shared" si="66"/>
        <v>0.02937117751117134</v>
      </c>
      <c r="T127" s="179">
        <f t="shared" si="67"/>
        <v>0.9891456114285516</v>
      </c>
      <c r="U127" s="181">
        <f t="shared" si="68"/>
        <v>0.03188061735072387</v>
      </c>
    </row>
    <row r="128" spans="1:21" ht="12.75">
      <c r="A128" s="91">
        <f t="shared" si="53"/>
        <v>1992.4999999999886</v>
      </c>
      <c r="B128" s="171">
        <f t="shared" si="48"/>
        <v>56.01072300864519</v>
      </c>
      <c r="C128" s="171">
        <f t="shared" si="49"/>
        <v>0.5961247114970386</v>
      </c>
      <c r="D128" s="172">
        <f t="shared" si="50"/>
        <v>0.018517485632039508</v>
      </c>
      <c r="E128" s="171">
        <f t="shared" si="61"/>
        <v>56.62536520577427</v>
      </c>
      <c r="F128" s="171"/>
      <c r="G128" s="171">
        <f t="shared" si="44"/>
        <v>0.16917110982051095</v>
      </c>
      <c r="H128" s="171">
        <f t="shared" si="45"/>
        <v>0.16914588302763578</v>
      </c>
      <c r="I128" s="91">
        <f t="shared" si="57"/>
        <v>0.11943406852252987</v>
      </c>
      <c r="J128" s="91">
        <f t="shared" si="58"/>
        <v>29.745695056150083</v>
      </c>
      <c r="K128" s="172">
        <f t="shared" si="51"/>
        <v>0.011454595759453018</v>
      </c>
      <c r="L128" s="177">
        <f t="shared" si="62"/>
        <v>0.6554113804674611</v>
      </c>
      <c r="M128" s="178">
        <f t="shared" si="63"/>
        <v>0.009727362972682767</v>
      </c>
      <c r="N128" s="403">
        <f t="shared" si="47"/>
        <v>0</v>
      </c>
      <c r="O128" s="177">
        <f t="shared" si="52"/>
        <v>0.0005669241554607461</v>
      </c>
      <c r="P128" s="174">
        <f t="shared" si="69"/>
        <v>6.55411380467461E-05</v>
      </c>
      <c r="Q128" s="179">
        <f t="shared" si="64"/>
        <v>0.00032701750469507293</v>
      </c>
      <c r="R128" s="179">
        <f t="shared" si="65"/>
        <v>0.010854538330931612</v>
      </c>
      <c r="S128" s="180">
        <f t="shared" si="66"/>
        <v>0.03012726057295207</v>
      </c>
      <c r="T128" s="179">
        <f t="shared" si="67"/>
        <v>0.9891454616690684</v>
      </c>
      <c r="U128" s="181">
        <f t="shared" si="68"/>
        <v>0.032701750469507296</v>
      </c>
    </row>
    <row r="129" spans="1:21" ht="12.75">
      <c r="A129" s="91">
        <f t="shared" si="53"/>
        <v>1992.5999999999885</v>
      </c>
      <c r="B129" s="171">
        <f t="shared" si="48"/>
        <v>55.89456674139043</v>
      </c>
      <c r="C129" s="171">
        <f t="shared" si="49"/>
        <v>0.5944181569711042</v>
      </c>
      <c r="D129" s="172">
        <f t="shared" si="50"/>
        <v>0.018954333423765863</v>
      </c>
      <c r="E129" s="171">
        <f t="shared" si="61"/>
        <v>56.50793923178529</v>
      </c>
      <c r="F129" s="171"/>
      <c r="G129" s="171">
        <f t="shared" si="44"/>
        <v>0.16882029385192018</v>
      </c>
      <c r="H129" s="171">
        <f t="shared" si="45"/>
        <v>0.1687944719313382</v>
      </c>
      <c r="I129" s="91">
        <f t="shared" si="57"/>
        <v>0.1195786107360439</v>
      </c>
      <c r="J129" s="91">
        <f t="shared" si="58"/>
        <v>29.745695056150083</v>
      </c>
      <c r="K129" s="172">
        <f t="shared" si="51"/>
        <v>0.011437650313289041</v>
      </c>
      <c r="L129" s="177">
        <f t="shared" si="62"/>
        <v>0.6722588350205543</v>
      </c>
      <c r="M129" s="178">
        <f t="shared" si="63"/>
        <v>0.009977532886189446</v>
      </c>
      <c r="N129" s="403">
        <f t="shared" si="47"/>
        <v>0</v>
      </c>
      <c r="O129" s="177">
        <f t="shared" si="52"/>
        <v>0.000579872144571749</v>
      </c>
      <c r="P129" s="174">
        <f t="shared" si="69"/>
        <v>6.722588350205543E-05</v>
      </c>
      <c r="Q129" s="179">
        <f t="shared" si="64"/>
        <v>0.00033542779442050845</v>
      </c>
      <c r="R129" s="179">
        <f t="shared" si="65"/>
        <v>0.010854625009043908</v>
      </c>
      <c r="S129" s="180">
        <f t="shared" si="66"/>
        <v>0.030901831628548673</v>
      </c>
      <c r="T129" s="179">
        <f t="shared" si="67"/>
        <v>0.9891453749909561</v>
      </c>
      <c r="U129" s="181">
        <f t="shared" si="68"/>
        <v>0.03354277944205084</v>
      </c>
    </row>
    <row r="130" spans="1:21" ht="12.75">
      <c r="A130" s="91">
        <f t="shared" si="53"/>
        <v>1992.6999999999884</v>
      </c>
      <c r="B130" s="171">
        <f t="shared" si="48"/>
        <v>55.77904074471462</v>
      </c>
      <c r="C130" s="171">
        <f t="shared" si="49"/>
        <v>0.592706015067653</v>
      </c>
      <c r="D130" s="172">
        <f t="shared" si="50"/>
        <v>0.01940087908239524</v>
      </c>
      <c r="E130" s="171">
        <f t="shared" si="61"/>
        <v>56.39114763886467</v>
      </c>
      <c r="F130" s="171"/>
      <c r="G130" s="171">
        <f t="shared" si="44"/>
        <v>0.16847137312849017</v>
      </c>
      <c r="H130" s="171">
        <f t="shared" si="45"/>
        <v>0.16844494286857617</v>
      </c>
      <c r="I130" s="91">
        <f t="shared" si="57"/>
        <v>0.11972332787830099</v>
      </c>
      <c r="J130" s="91">
        <f t="shared" si="58"/>
        <v>29.745695056150083</v>
      </c>
      <c r="K130" s="172">
        <f t="shared" si="51"/>
        <v>0.011427853915243202</v>
      </c>
      <c r="L130" s="177">
        <f t="shared" si="62"/>
        <v>0.6895280645158166</v>
      </c>
      <c r="M130" s="178">
        <f t="shared" si="63"/>
        <v>0.010233745138544378</v>
      </c>
      <c r="N130" s="403">
        <f t="shared" si="47"/>
        <v>0</v>
      </c>
      <c r="O130" s="177">
        <f t="shared" si="52"/>
        <v>0.0005930826709327312</v>
      </c>
      <c r="P130" s="174">
        <f t="shared" si="69"/>
        <v>6.895280645158166E-05</v>
      </c>
      <c r="Q130" s="179">
        <f t="shared" si="64"/>
        <v>0.0003440412173669647</v>
      </c>
      <c r="R130" s="179">
        <f t="shared" si="65"/>
        <v>0.010854662828819348</v>
      </c>
      <c r="S130" s="180">
        <f t="shared" si="66"/>
        <v>0.031695246807070636</v>
      </c>
      <c r="T130" s="179">
        <f t="shared" si="67"/>
        <v>0.9891453371711806</v>
      </c>
      <c r="U130" s="181">
        <f t="shared" si="68"/>
        <v>0.03440412173669647</v>
      </c>
    </row>
    <row r="131" spans="1:21" ht="12.75">
      <c r="A131" s="91">
        <f t="shared" si="53"/>
        <v>1992.7999999999884</v>
      </c>
      <c r="B131" s="171">
        <f t="shared" si="48"/>
        <v>55.66414189511292</v>
      </c>
      <c r="C131" s="171">
        <f t="shared" si="49"/>
        <v>0.5909887035204594</v>
      </c>
      <c r="D131" s="172">
        <f t="shared" si="50"/>
        <v>0.019857306884122006</v>
      </c>
      <c r="E131" s="171">
        <f t="shared" si="61"/>
        <v>56.2749879055175</v>
      </c>
      <c r="F131" s="171"/>
      <c r="G131" s="171">
        <f aca="true" t="shared" si="70" ref="G131:G194">E131*b*Solution_interval</f>
        <v>0.16812434011712885</v>
      </c>
      <c r="H131" s="171">
        <f aca="true" t="shared" si="71" ref="H131:H194">b*(B131+C131+(1-v)*e*D131)*Solution_interval</f>
        <v>0.168097288055214</v>
      </c>
      <c r="I131" s="91">
        <f aca="true" t="shared" si="72" ref="I131:I152">I132/(1+gr*Solution_interval)</f>
        <v>0.11986822016100449</v>
      </c>
      <c r="J131" s="91">
        <f t="shared" si="58"/>
        <v>29.745695056150083</v>
      </c>
      <c r="K131" s="172">
        <f t="shared" si="51"/>
        <v>0.011423582106981994</v>
      </c>
      <c r="L131" s="177">
        <f t="shared" si="62"/>
        <v>0.707229338879391</v>
      </c>
      <c r="M131" s="178">
        <f t="shared" si="63"/>
        <v>0.010496126559870315</v>
      </c>
      <c r="N131" s="403">
        <f aca="true" t="shared" si="73" ref="N131:N194">IF(ROUND(A131,1)=t0,0.01,0)</f>
        <v>0</v>
      </c>
      <c r="O131" s="177">
        <f t="shared" si="52"/>
        <v>0.0006065602300284605</v>
      </c>
      <c r="P131" s="174">
        <f t="shared" si="69"/>
        <v>7.07229338879391E-05</v>
      </c>
      <c r="Q131" s="179">
        <f t="shared" si="64"/>
        <v>0.00035286203734883595</v>
      </c>
      <c r="R131" s="179">
        <f t="shared" si="65"/>
        <v>0.010854662668789145</v>
      </c>
      <c r="S131" s="180">
        <f t="shared" si="66"/>
        <v>0.03250787685585427</v>
      </c>
      <c r="T131" s="179">
        <f t="shared" si="67"/>
        <v>0.9891453373312109</v>
      </c>
      <c r="U131" s="181">
        <f t="shared" si="68"/>
        <v>0.035286203734883594</v>
      </c>
    </row>
    <row r="132" spans="1:21" ht="12.75">
      <c r="A132" s="91">
        <f t="shared" si="53"/>
        <v>1992.8999999999883</v>
      </c>
      <c r="B132" s="171">
        <f aca="true" t="shared" si="74" ref="B132:B195">MAX(0,B131+(1-K132)*I132-B131*mu*Solution_interval)</f>
        <v>55.54986722814214</v>
      </c>
      <c r="C132" s="171">
        <f aca="true" t="shared" si="75" ref="C132:C195">MAX(0,C131+K132*I132-(mu+M131+N131)*C131*Solution_interval)</f>
        <v>0.5892664881345456</v>
      </c>
      <c r="D132" s="172">
        <f aca="true" t="shared" si="76" ref="D132:D195">MAX(0,D131-P131+((M131+N131)*C131-mu*D131)*Solution_interval)</f>
        <v>0.020323803707977567</v>
      </c>
      <c r="E132" s="171">
        <f t="shared" si="61"/>
        <v>56.15945751998466</v>
      </c>
      <c r="F132" s="171"/>
      <c r="G132" s="171">
        <f t="shared" si="70"/>
        <v>0.1677791873138302</v>
      </c>
      <c r="H132" s="171">
        <f t="shared" si="71"/>
        <v>0.16775149973265613</v>
      </c>
      <c r="I132" s="91">
        <f t="shared" si="72"/>
        <v>0.12001328779611388</v>
      </c>
      <c r="J132" s="91">
        <f t="shared" si="58"/>
        <v>29.745695056150083</v>
      </c>
      <c r="K132" s="172">
        <f aca="true" t="shared" si="77" ref="K132:K195">EXP(phi*((B131/E131)-(1-fo)))/(EXP(phi*((B131/E131)-(1-fo)))+1/fo-1)</f>
        <v>0.011423600179354659</v>
      </c>
      <c r="L132" s="177">
        <f t="shared" si="62"/>
        <v>0.7253731228508403</v>
      </c>
      <c r="M132" s="178">
        <f t="shared" si="63"/>
        <v>0.010764806039364288</v>
      </c>
      <c r="N132" s="403">
        <f t="shared" si="73"/>
        <v>0</v>
      </c>
      <c r="O132" s="177">
        <f aca="true" t="shared" si="78" ref="O132:O195">(M131+N131)*C131*Solution_interval</f>
        <v>0.0006203092227604417</v>
      </c>
      <c r="P132" s="174">
        <f t="shared" si="69"/>
        <v>7.253731228508404E-05</v>
      </c>
      <c r="Q132" s="179">
        <f t="shared" si="64"/>
        <v>0.0003618945874031142</v>
      </c>
      <c r="R132" s="179">
        <f t="shared" si="65"/>
        <v>0.01085463283945713</v>
      </c>
      <c r="S132" s="180">
        <f t="shared" si="66"/>
        <v>0.03334010396810561</v>
      </c>
      <c r="T132" s="179">
        <f t="shared" si="67"/>
        <v>0.9891453671605429</v>
      </c>
      <c r="U132" s="181">
        <f t="shared" si="68"/>
        <v>0.03618945874031142</v>
      </c>
    </row>
    <row r="133" spans="1:23" ht="12.75">
      <c r="A133" s="91">
        <f aca="true" t="shared" si="79" ref="A133:A196">0.1+A132</f>
        <v>1992.9999999999882</v>
      </c>
      <c r="B133" s="171">
        <f t="shared" si="74"/>
        <v>55.436213902911554</v>
      </c>
      <c r="C133" s="171">
        <f t="shared" si="75"/>
        <v>0.5875395183707626</v>
      </c>
      <c r="D133" s="172">
        <f t="shared" si="76"/>
        <v>0.020800558900454288</v>
      </c>
      <c r="E133" s="171">
        <f t="shared" si="61"/>
        <v>56.04455398018277</v>
      </c>
      <c r="F133" s="171"/>
      <c r="G133" s="171">
        <f t="shared" si="70"/>
        <v>0.16743590724349505</v>
      </c>
      <c r="H133" s="171">
        <f t="shared" si="71"/>
        <v>0.16740757016785224</v>
      </c>
      <c r="I133" s="91">
        <f t="shared" si="72"/>
        <v>0.12015853099584523</v>
      </c>
      <c r="J133" s="91">
        <f t="shared" si="58"/>
        <v>29.745695056150083</v>
      </c>
      <c r="K133" s="172">
        <f t="shared" si="77"/>
        <v>0.011426969327097615</v>
      </c>
      <c r="L133" s="177">
        <f t="shared" si="62"/>
        <v>0.7439700765047068</v>
      </c>
      <c r="M133" s="178">
        <f t="shared" si="63"/>
        <v>0.011039914462860784</v>
      </c>
      <c r="N133" s="403">
        <f t="shared" si="73"/>
        <v>0</v>
      </c>
      <c r="O133" s="177">
        <f t="shared" si="78"/>
        <v>0.0006343339450265742</v>
      </c>
      <c r="P133" s="174">
        <f t="shared" si="69"/>
        <v>7.439700765047068E-05</v>
      </c>
      <c r="Q133" s="179">
        <f t="shared" si="64"/>
        <v>0.0003711432676903686</v>
      </c>
      <c r="R133" s="179">
        <f t="shared" si="65"/>
        <v>0.010854579688265956</v>
      </c>
      <c r="S133" s="180">
        <f t="shared" si="66"/>
        <v>0.03419232050888003</v>
      </c>
      <c r="T133" s="179">
        <f t="shared" si="67"/>
        <v>0.989145420311734</v>
      </c>
      <c r="U133" s="181">
        <f t="shared" si="68"/>
        <v>0.037114326769036865</v>
      </c>
      <c r="V133">
        <f>IF(ISNUMBER('Set-up'!$N$20)=FALSE,"",('Set-up'!$N$20-'EPP model'!U133)^2)</f>
      </c>
      <c r="W133" t="e">
        <f>IF(ISNUMBER('Set-up'!$N$20)=FALSE,NA()=FALSE,('Set-up'!$N$20))</f>
        <v>#N/A</v>
      </c>
    </row>
    <row r="134" spans="1:21" ht="12.75">
      <c r="A134" s="91">
        <f t="shared" si="79"/>
        <v>1993.099999999988</v>
      </c>
      <c r="B134" s="171">
        <f t="shared" si="74"/>
        <v>55.32317917512243</v>
      </c>
      <c r="C134" s="171">
        <f t="shared" si="75"/>
        <v>0.5858078543664499</v>
      </c>
      <c r="D134" s="172">
        <f t="shared" si="76"/>
        <v>0.02128776415555896</v>
      </c>
      <c r="E134" s="171">
        <f t="shared" si="61"/>
        <v>55.93027479364444</v>
      </c>
      <c r="F134" s="171"/>
      <c r="G134" s="171">
        <f t="shared" si="70"/>
        <v>0.1670944924597525</v>
      </c>
      <c r="H134" s="171">
        <f t="shared" si="71"/>
        <v>0.16706549165328233</v>
      </c>
      <c r="I134" s="91">
        <f t="shared" si="72"/>
        <v>0.1203039499726714</v>
      </c>
      <c r="J134" s="91">
        <f t="shared" si="58"/>
        <v>29.745695056150083</v>
      </c>
      <c r="K134" s="172">
        <f t="shared" si="77"/>
        <v>0.011432975054341918</v>
      </c>
      <c r="L134" s="177">
        <f t="shared" si="62"/>
        <v>0.7630310631493566</v>
      </c>
      <c r="M134" s="178">
        <f t="shared" si="63"/>
        <v>0.011321584657589668</v>
      </c>
      <c r="N134" s="403">
        <f t="shared" si="73"/>
        <v>0</v>
      </c>
      <c r="O134" s="177">
        <f t="shared" si="78"/>
        <v>0.0006486386026363641</v>
      </c>
      <c r="P134" s="174">
        <f>O123*$Y$6+O112*$Y$7+O101*$Y$8+O90*$Y$9+O79*$Y$10+O68*$Y$11+O57*$Y$12+O46*$Y$13+O35*$Y$14+O24*$Y$15+O13*$Y$16</f>
        <v>7.630310631493566E-05</v>
      </c>
      <c r="Q134" s="179">
        <f t="shared" si="64"/>
        <v>0.00038061254363760006</v>
      </c>
      <c r="R134" s="179">
        <f t="shared" si="65"/>
        <v>0.010854508059577696</v>
      </c>
      <c r="S134" s="180">
        <f t="shared" si="66"/>
        <v>0.03506492800489091</v>
      </c>
      <c r="T134" s="179">
        <f t="shared" si="67"/>
        <v>0.9891454919404223</v>
      </c>
      <c r="U134" s="181">
        <f t="shared" si="68"/>
        <v>0.038061254363760004</v>
      </c>
    </row>
    <row r="135" spans="1:21" ht="12.75">
      <c r="A135" s="91">
        <f t="shared" si="79"/>
        <v>1993.199999999988</v>
      </c>
      <c r="B135" s="171">
        <f t="shared" si="74"/>
        <v>55.210760376517776</v>
      </c>
      <c r="C135" s="171">
        <f t="shared" si="75"/>
        <v>0.5840714875353287</v>
      </c>
      <c r="D135" s="172">
        <f t="shared" si="76"/>
        <v>0.021785613404896386</v>
      </c>
      <c r="E135" s="171">
        <f t="shared" si="61"/>
        <v>55.816617477457996</v>
      </c>
      <c r="F135" s="171"/>
      <c r="G135" s="171">
        <f t="shared" si="70"/>
        <v>0.16675493554477966</v>
      </c>
      <c r="H135" s="171">
        <f t="shared" si="71"/>
        <v>0.16672525650692618</v>
      </c>
      <c r="I135" s="91">
        <f t="shared" si="72"/>
        <v>0.12044954493932239</v>
      </c>
      <c r="J135" s="91">
        <f t="shared" si="58"/>
        <v>29.745695056150083</v>
      </c>
      <c r="K135" s="172">
        <f t="shared" si="77"/>
        <v>0.01144107355021556</v>
      </c>
      <c r="L135" s="177">
        <f t="shared" si="62"/>
        <v>0.782567156342228</v>
      </c>
      <c r="M135" s="178">
        <f t="shared" si="63"/>
        <v>0.011609951341371322</v>
      </c>
      <c r="N135" s="403">
        <f t="shared" si="73"/>
        <v>0</v>
      </c>
      <c r="O135" s="177">
        <f t="shared" si="78"/>
        <v>0.0006632273216290722</v>
      </c>
      <c r="P135" s="174">
        <f aca="true" t="shared" si="80" ref="P135:P144">O124*$Y$6+O113*$Y$7+O102*$Y$8+O91*$Y$9+O80*$Y$10+O69*$Y$11+O58*$Y$12+O47*$Y$13+O36*$Y$14+O25*$Y$15+O14*$Y$16+O3*$Y$17</f>
        <v>7.82567156342228E-05</v>
      </c>
      <c r="Q135" s="179">
        <f t="shared" si="64"/>
        <v>0.00039030694423026775</v>
      </c>
      <c r="R135" s="179">
        <f t="shared" si="65"/>
        <v>0.0108544216457564</v>
      </c>
      <c r="S135" s="180">
        <f t="shared" si="66"/>
        <v>0.03595833633225963</v>
      </c>
      <c r="T135" s="179">
        <f t="shared" si="67"/>
        <v>0.9891455783542437</v>
      </c>
      <c r="U135" s="181">
        <f t="shared" si="68"/>
        <v>0.03903069442302677</v>
      </c>
    </row>
    <row r="136" spans="1:21" ht="12.75">
      <c r="A136" s="91">
        <f t="shared" si="79"/>
        <v>1993.299999999988</v>
      </c>
      <c r="B136" s="171">
        <f t="shared" si="74"/>
        <v>55.09895489917371</v>
      </c>
      <c r="C136" s="171">
        <f t="shared" si="75"/>
        <v>0.5823303563187405</v>
      </c>
      <c r="D136" s="172">
        <f t="shared" si="76"/>
        <v>0.022294302714254435</v>
      </c>
      <c r="E136" s="171">
        <f t="shared" si="61"/>
        <v>55.70357955820671</v>
      </c>
      <c r="F136" s="171"/>
      <c r="G136" s="171">
        <f t="shared" si="70"/>
        <v>0.1664172291091205</v>
      </c>
      <c r="H136" s="171">
        <f t="shared" si="71"/>
        <v>0.16638685707222275</v>
      </c>
      <c r="I136" s="91">
        <f t="shared" si="72"/>
        <v>0.12059531610878567</v>
      </c>
      <c r="J136" s="91">
        <f t="shared" si="58"/>
        <v>29.745695056150083</v>
      </c>
      <c r="K136" s="172">
        <f t="shared" si="77"/>
        <v>0.011450851232322114</v>
      </c>
      <c r="L136" s="177">
        <f t="shared" si="62"/>
        <v>1.6416272022443805</v>
      </c>
      <c r="M136" s="178">
        <f t="shared" si="63"/>
        <v>0.011905151074443104</v>
      </c>
      <c r="N136" s="403">
        <f t="shared" si="73"/>
        <v>0</v>
      </c>
      <c r="O136" s="177">
        <f t="shared" si="78"/>
        <v>0.0006781041550167534</v>
      </c>
      <c r="P136" s="174">
        <f t="shared" si="80"/>
        <v>0.00016416272022443806</v>
      </c>
      <c r="Q136" s="179">
        <f t="shared" si="64"/>
        <v>0.00040023106039277604</v>
      </c>
      <c r="R136" s="179">
        <f t="shared" si="65"/>
        <v>0.010854323255854689</v>
      </c>
      <c r="S136" s="180">
        <f t="shared" si="66"/>
        <v>0.036872963054319974</v>
      </c>
      <c r="T136" s="179">
        <f t="shared" si="67"/>
        <v>0.9891456767441452</v>
      </c>
      <c r="U136" s="181">
        <f t="shared" si="68"/>
        <v>0.040023106039277605</v>
      </c>
    </row>
    <row r="137" spans="1:21" ht="12.75">
      <c r="A137" s="91">
        <f t="shared" si="79"/>
        <v>1993.3999999999878</v>
      </c>
      <c r="B137" s="171">
        <f t="shared" si="74"/>
        <v>54.987760183467984</v>
      </c>
      <c r="C137" s="171">
        <f t="shared" si="75"/>
        <v>0.5805843582557282</v>
      </c>
      <c r="D137" s="172">
        <f t="shared" si="76"/>
        <v>0.022730126428322988</v>
      </c>
      <c r="E137" s="171">
        <f t="shared" si="61"/>
        <v>55.59107466815203</v>
      </c>
      <c r="F137" s="171"/>
      <c r="G137" s="171">
        <f t="shared" si="70"/>
        <v>0.1660811151248376</v>
      </c>
      <c r="H137" s="171">
        <f t="shared" si="71"/>
        <v>0.16605014935535745</v>
      </c>
      <c r="I137" s="91">
        <f t="shared" si="72"/>
        <v>0.12074126369430645</v>
      </c>
      <c r="J137" s="91">
        <f t="shared" si="58"/>
        <v>29.745695056150083</v>
      </c>
      <c r="K137" s="172">
        <f t="shared" si="77"/>
        <v>0.011461994058044827</v>
      </c>
      <c r="L137" s="177">
        <f t="shared" si="62"/>
        <v>0.8501864401158823</v>
      </c>
      <c r="M137" s="178">
        <f t="shared" si="63"/>
        <v>0.012162445381038525</v>
      </c>
      <c r="N137" s="403">
        <f t="shared" si="73"/>
        <v>0</v>
      </c>
      <c r="O137" s="177">
        <f t="shared" si="78"/>
        <v>0.000693273086720889</v>
      </c>
      <c r="P137" s="174">
        <f t="shared" si="80"/>
        <v>8.501864401158823E-05</v>
      </c>
      <c r="Q137" s="179">
        <f t="shared" si="64"/>
        <v>0.0004088808601742145</v>
      </c>
      <c r="R137" s="179">
        <f t="shared" si="65"/>
        <v>0.010852722101263645</v>
      </c>
      <c r="S137" s="180">
        <f t="shared" si="66"/>
        <v>0.037675419711208316</v>
      </c>
      <c r="T137" s="179">
        <f t="shared" si="67"/>
        <v>0.9891472778987364</v>
      </c>
      <c r="U137" s="181">
        <f t="shared" si="68"/>
        <v>0.04088808601742145</v>
      </c>
    </row>
    <row r="138" spans="1:21" ht="12.75">
      <c r="A138" s="91">
        <f t="shared" si="79"/>
        <v>1993.4999999999877</v>
      </c>
      <c r="B138" s="171">
        <f t="shared" si="74"/>
        <v>54.87715308824845</v>
      </c>
      <c r="C138" s="171">
        <f t="shared" si="75"/>
        <v>0.5788565853298571</v>
      </c>
      <c r="D138" s="172">
        <f t="shared" si="76"/>
        <v>0.023256130057593687</v>
      </c>
      <c r="E138" s="171">
        <f t="shared" si="61"/>
        <v>55.479265803635904</v>
      </c>
      <c r="F138" s="171"/>
      <c r="G138" s="171">
        <f t="shared" si="70"/>
        <v>0.16574708055165246</v>
      </c>
      <c r="H138" s="171">
        <f t="shared" si="71"/>
        <v>0.16571539819543524</v>
      </c>
      <c r="I138" s="91">
        <f t="shared" si="72"/>
        <v>0.12088738790938804</v>
      </c>
      <c r="J138" s="91">
        <f t="shared" si="58"/>
        <v>29.745695056150083</v>
      </c>
      <c r="K138" s="172">
        <f t="shared" si="77"/>
        <v>0.011644841117165875</v>
      </c>
      <c r="L138" s="177">
        <f t="shared" si="62"/>
        <v>0.864349465751865</v>
      </c>
      <c r="M138" s="178">
        <f t="shared" si="63"/>
        <v>0.012468978146318796</v>
      </c>
      <c r="N138" s="403">
        <f t="shared" si="73"/>
        <v>0</v>
      </c>
      <c r="O138" s="177">
        <f t="shared" si="78"/>
        <v>0.0007061325546370597</v>
      </c>
      <c r="P138" s="174">
        <f t="shared" si="80"/>
        <v>8.64349465751865E-05</v>
      </c>
      <c r="Q138" s="179">
        <f t="shared" si="64"/>
        <v>0.0004191859737276762</v>
      </c>
      <c r="R138" s="179">
        <f t="shared" si="65"/>
        <v>0.010852932292193211</v>
      </c>
      <c r="S138" s="180">
        <f t="shared" si="66"/>
        <v>0.03862421347908042</v>
      </c>
      <c r="T138" s="179">
        <f t="shared" si="67"/>
        <v>0.9891470677078067</v>
      </c>
      <c r="U138" s="181">
        <f t="shared" si="68"/>
        <v>0.041918597372767624</v>
      </c>
    </row>
    <row r="139" spans="1:21" ht="12.75">
      <c r="A139" s="91">
        <f t="shared" si="79"/>
        <v>1993.5999999999876</v>
      </c>
      <c r="B139" s="171">
        <f t="shared" si="74"/>
        <v>54.767156331655826</v>
      </c>
      <c r="C139" s="171">
        <f t="shared" si="75"/>
        <v>0.5771191781988582</v>
      </c>
      <c r="D139" s="172">
        <f t="shared" si="76"/>
        <v>0.02379415886971737</v>
      </c>
      <c r="E139" s="171">
        <f t="shared" si="61"/>
        <v>55.3680696687244</v>
      </c>
      <c r="F139" s="171"/>
      <c r="G139" s="171">
        <f t="shared" si="70"/>
        <v>0.1654148765387976</v>
      </c>
      <c r="H139" s="171">
        <f t="shared" si="71"/>
        <v>0.16538246121366257</v>
      </c>
      <c r="I139" s="91">
        <f t="shared" si="72"/>
        <v>0.12103368896779211</v>
      </c>
      <c r="J139" s="91">
        <f t="shared" si="58"/>
        <v>29.745695056150083</v>
      </c>
      <c r="K139" s="172">
        <f t="shared" si="77"/>
        <v>0.01162067455649715</v>
      </c>
      <c r="L139" s="177">
        <f t="shared" si="62"/>
        <v>0.886242331895393</v>
      </c>
      <c r="M139" s="178">
        <f t="shared" si="63"/>
        <v>0.012783067896188546</v>
      </c>
      <c r="N139" s="403">
        <f t="shared" si="73"/>
        <v>0</v>
      </c>
      <c r="O139" s="177">
        <f t="shared" si="78"/>
        <v>0.0007217750112330709</v>
      </c>
      <c r="P139" s="174">
        <f t="shared" si="80"/>
        <v>8.86242331895393E-05</v>
      </c>
      <c r="Q139" s="179">
        <f t="shared" si="64"/>
        <v>0.00042974514033235125</v>
      </c>
      <c r="R139" s="179">
        <f t="shared" si="65"/>
        <v>0.010853066409284838</v>
      </c>
      <c r="S139" s="180">
        <f t="shared" si="66"/>
        <v>0.03959665629288905</v>
      </c>
      <c r="T139" s="179">
        <f t="shared" si="67"/>
        <v>0.9891469335907151</v>
      </c>
      <c r="U139" s="181">
        <f t="shared" si="68"/>
        <v>0.04297451403323513</v>
      </c>
    </row>
    <row r="140" spans="1:21" ht="12.75">
      <c r="A140" s="91">
        <f t="shared" si="79"/>
        <v>1993.6999999999875</v>
      </c>
      <c r="B140" s="171">
        <f t="shared" si="74"/>
        <v>54.6577664788624</v>
      </c>
      <c r="C140" s="171">
        <f t="shared" si="75"/>
        <v>0.5753729173079934</v>
      </c>
      <c r="D140" s="172">
        <f t="shared" si="76"/>
        <v>0.02434370745942796</v>
      </c>
      <c r="E140" s="171">
        <f t="shared" si="61"/>
        <v>55.25748310362982</v>
      </c>
      <c r="F140" s="171"/>
      <c r="G140" s="171">
        <f t="shared" si="70"/>
        <v>0.1650844936462493</v>
      </c>
      <c r="H140" s="171">
        <f t="shared" si="71"/>
        <v>0.1650513296585408</v>
      </c>
      <c r="I140" s="91">
        <f t="shared" si="72"/>
        <v>0.12118016708353906</v>
      </c>
      <c r="J140" s="91">
        <f t="shared" si="58"/>
        <v>29.745695056150083</v>
      </c>
      <c r="K140" s="172">
        <f t="shared" si="77"/>
        <v>0.011605280443042189</v>
      </c>
      <c r="L140" s="177">
        <f t="shared" si="62"/>
        <v>0.9086876366738209</v>
      </c>
      <c r="M140" s="178">
        <f>MIN(1,J140*D140/E140)</f>
        <v>0.013104478487850332</v>
      </c>
      <c r="N140" s="403">
        <f t="shared" si="73"/>
        <v>0</v>
      </c>
      <c r="O140" s="177">
        <f t="shared" si="78"/>
        <v>0.000737735363910854</v>
      </c>
      <c r="P140" s="174">
        <f t="shared" si="80"/>
        <v>9.08687636673821E-05</v>
      </c>
      <c r="Q140" s="179">
        <f t="shared" si="64"/>
        <v>0.0004405504212664518</v>
      </c>
      <c r="R140" s="179">
        <f t="shared" si="65"/>
        <v>0.01085312958686</v>
      </c>
      <c r="S140" s="180">
        <f t="shared" si="66"/>
        <v>0.04059201705283524</v>
      </c>
      <c r="T140" s="179">
        <f t="shared" si="67"/>
        <v>0.98914687041314</v>
      </c>
      <c r="U140" s="181">
        <f t="shared" si="68"/>
        <v>0.044055042126645176</v>
      </c>
    </row>
    <row r="141" spans="1:21" ht="12.75">
      <c r="A141" s="91">
        <f t="shared" si="79"/>
        <v>1993.7999999999874</v>
      </c>
      <c r="B141" s="171">
        <f t="shared" si="74"/>
        <v>54.548980181357734</v>
      </c>
      <c r="C141" s="171">
        <f t="shared" si="75"/>
        <v>0.5736185255172568</v>
      </c>
      <c r="D141" s="172">
        <f t="shared" si="76"/>
        <v>0.02490497286549255</v>
      </c>
      <c r="E141" s="171">
        <f t="shared" si="61"/>
        <v>55.14750367974048</v>
      </c>
      <c r="F141" s="171"/>
      <c r="G141" s="171">
        <f t="shared" si="70"/>
        <v>0.1647559246184087</v>
      </c>
      <c r="H141" s="171">
        <f t="shared" si="71"/>
        <v>0.16472199600604065</v>
      </c>
      <c r="I141" s="91">
        <f t="shared" si="72"/>
        <v>0.12132682247090827</v>
      </c>
      <c r="J141" s="91">
        <f t="shared" si="58"/>
        <v>29.745695056150083</v>
      </c>
      <c r="K141" s="172">
        <f t="shared" si="77"/>
        <v>0.011598035833034126</v>
      </c>
      <c r="L141" s="177">
        <f t="shared" si="62"/>
        <v>0.9316823540419895</v>
      </c>
      <c r="M141" s="178">
        <f t="shared" si="63"/>
        <v>0.013433350175572624</v>
      </c>
      <c r="N141" s="403">
        <f t="shared" si="73"/>
        <v>0</v>
      </c>
      <c r="O141" s="177">
        <f t="shared" si="78"/>
        <v>0.0007539962017354289</v>
      </c>
      <c r="P141" s="174">
        <f t="shared" si="80"/>
        <v>9.316823540419895E-05</v>
      </c>
      <c r="Q141" s="179">
        <f t="shared" si="64"/>
        <v>0.0004516065316414654</v>
      </c>
      <c r="R141" s="179">
        <f t="shared" si="65"/>
        <v>0.010853138554712653</v>
      </c>
      <c r="S141" s="180">
        <f t="shared" si="66"/>
        <v>0.0416106851824322</v>
      </c>
      <c r="T141" s="179">
        <f t="shared" si="67"/>
        <v>0.9891468614452874</v>
      </c>
      <c r="U141" s="181">
        <f t="shared" si="68"/>
        <v>0.04516065316414654</v>
      </c>
    </row>
    <row r="142" spans="1:21" ht="12.75">
      <c r="A142" s="91">
        <f t="shared" si="79"/>
        <v>1993.8999999999874</v>
      </c>
      <c r="B142" s="171">
        <f t="shared" si="74"/>
        <v>54.44079433606707</v>
      </c>
      <c r="C142" s="171">
        <f t="shared" si="75"/>
        <v>0.5718564871247483</v>
      </c>
      <c r="D142" s="172">
        <f t="shared" si="76"/>
        <v>0.025478155932148232</v>
      </c>
      <c r="E142" s="171">
        <f t="shared" si="61"/>
        <v>55.03812897912397</v>
      </c>
      <c r="F142" s="171"/>
      <c r="G142" s="171">
        <f t="shared" si="70"/>
        <v>0.16442916223158183</v>
      </c>
      <c r="H142" s="171">
        <f t="shared" si="71"/>
        <v>0.16439445275885353</v>
      </c>
      <c r="I142" s="91">
        <f t="shared" si="72"/>
        <v>0.12147365534443849</v>
      </c>
      <c r="J142" s="91">
        <f t="shared" si="58"/>
        <v>29.745695056150083</v>
      </c>
      <c r="K142" s="172">
        <f t="shared" si="77"/>
        <v>0.011597007846361296</v>
      </c>
      <c r="L142" s="177">
        <f t="shared" si="62"/>
        <v>0.9552394712833379</v>
      </c>
      <c r="M142" s="178">
        <f t="shared" si="63"/>
        <v>0.01376982595535146</v>
      </c>
      <c r="N142" s="403">
        <f t="shared" si="73"/>
        <v>0</v>
      </c>
      <c r="O142" s="177">
        <f t="shared" si="78"/>
        <v>0.0007705618520468952</v>
      </c>
      <c r="P142" s="174">
        <f t="shared" si="80"/>
        <v>9.552394712833378E-05</v>
      </c>
      <c r="Q142" s="179">
        <f t="shared" si="64"/>
        <v>0.00046291827874112744</v>
      </c>
      <c r="R142" s="179">
        <f t="shared" si="65"/>
        <v>0.010853105912874805</v>
      </c>
      <c r="S142" s="180">
        <f t="shared" si="66"/>
        <v>0.042653069310968156</v>
      </c>
      <c r="T142" s="179">
        <f t="shared" si="67"/>
        <v>0.9891468940871252</v>
      </c>
      <c r="U142" s="181">
        <f t="shared" si="68"/>
        <v>0.04629182787411274</v>
      </c>
    </row>
    <row r="143" spans="1:23" ht="12.75">
      <c r="A143" s="91">
        <f t="shared" si="79"/>
        <v>1993.9999999999873</v>
      </c>
      <c r="B143" s="171">
        <f t="shared" si="74"/>
        <v>54.33320602629424</v>
      </c>
      <c r="C143" s="171">
        <f t="shared" si="75"/>
        <v>0.5700871071075035</v>
      </c>
      <c r="D143" s="172">
        <f t="shared" si="76"/>
        <v>0.02606345947957518</v>
      </c>
      <c r="E143" s="171">
        <f t="shared" si="61"/>
        <v>54.92935659288132</v>
      </c>
      <c r="F143" s="171"/>
      <c r="G143" s="171">
        <f t="shared" si="70"/>
        <v>0.1641041992890626</v>
      </c>
      <c r="H143" s="171">
        <f t="shared" si="71"/>
        <v>0.1640686924439667</v>
      </c>
      <c r="I143" s="91">
        <f t="shared" si="72"/>
        <v>0.12162066591892806</v>
      </c>
      <c r="J143" s="91">
        <f t="shared" si="58"/>
        <v>29.745695056150083</v>
      </c>
      <c r="K143" s="172">
        <f t="shared" si="77"/>
        <v>0.01160075001920811</v>
      </c>
      <c r="L143" s="177">
        <f t="shared" si="62"/>
        <v>0.9793721873237493</v>
      </c>
      <c r="M143" s="178">
        <f t="shared" si="63"/>
        <v>0.014114050589266156</v>
      </c>
      <c r="N143" s="403">
        <f t="shared" si="73"/>
        <v>0</v>
      </c>
      <c r="O143" s="177">
        <f t="shared" si="78"/>
        <v>0.0007874364299146468</v>
      </c>
      <c r="P143" s="174">
        <f t="shared" si="80"/>
        <v>9.793721873237493E-05</v>
      </c>
      <c r="Q143" s="179">
        <f t="shared" si="64"/>
        <v>0.00047449052922190837</v>
      </c>
      <c r="R143" s="179">
        <f t="shared" si="65"/>
        <v>0.01085304113437109</v>
      </c>
      <c r="S143" s="180">
        <f t="shared" si="66"/>
        <v>0.043719591895696255</v>
      </c>
      <c r="T143" s="179">
        <f t="shared" si="67"/>
        <v>0.989146958865629</v>
      </c>
      <c r="U143" s="181">
        <f t="shared" si="68"/>
        <v>0.047449052922190836</v>
      </c>
      <c r="V143">
        <f>IF(ISNUMBER('Set-up'!$N$21)=FALSE,"",('Set-up'!$N$21-'EPP model'!U143)^2)</f>
      </c>
      <c r="W143" t="e">
        <f>IF(ISNUMBER('Set-up'!$N$21)=FALSE,NA()=FALSE,('Set-up'!$N$21))</f>
        <v>#N/A</v>
      </c>
    </row>
    <row r="144" spans="1:21" ht="12.75">
      <c r="A144" s="91">
        <f t="shared" si="79"/>
        <v>1994.0999999999872</v>
      </c>
      <c r="B144" s="171">
        <f t="shared" si="74"/>
        <v>54.22621247745179</v>
      </c>
      <c r="C144" s="171">
        <f t="shared" si="75"/>
        <v>0.5683105555855623</v>
      </c>
      <c r="D144" s="172">
        <f t="shared" si="76"/>
        <v>0.02666108805105671</v>
      </c>
      <c r="E144" s="171">
        <f t="shared" si="61"/>
        <v>54.82118412108841</v>
      </c>
      <c r="F144" s="171"/>
      <c r="G144" s="171">
        <f t="shared" si="70"/>
        <v>0.1637810286209577</v>
      </c>
      <c r="H144" s="171">
        <f t="shared" si="71"/>
        <v>0.16374470761283294</v>
      </c>
      <c r="I144" s="91">
        <f t="shared" si="72"/>
        <v>0.12176785440943531</v>
      </c>
      <c r="J144" s="91">
        <f t="shared" si="58"/>
        <v>29.745695056150083</v>
      </c>
      <c r="K144" s="172">
        <f t="shared" si="77"/>
        <v>0.01160817998468716</v>
      </c>
      <c r="L144" s="177">
        <f t="shared" si="62"/>
        <v>1.0040939109497136</v>
      </c>
      <c r="M144" s="178">
        <f t="shared" si="63"/>
        <v>0.014466170473082341</v>
      </c>
      <c r="N144" s="403">
        <f t="shared" si="73"/>
        <v>0</v>
      </c>
      <c r="O144" s="177">
        <f t="shared" si="78"/>
        <v>0.00080462382700037</v>
      </c>
      <c r="P144" s="174">
        <f t="shared" si="80"/>
        <v>0.00010040939109497136</v>
      </c>
      <c r="Q144" s="179">
        <f t="shared" si="64"/>
        <v>0.00048632820466205186</v>
      </c>
      <c r="R144" s="179">
        <f t="shared" si="65"/>
        <v>0.010852951339439375</v>
      </c>
      <c r="S144" s="180">
        <f t="shared" si="66"/>
        <v>0.04481068692298899</v>
      </c>
      <c r="T144" s="179">
        <f t="shared" si="67"/>
        <v>0.9891470486605606</v>
      </c>
      <c r="U144" s="181">
        <f t="shared" si="68"/>
        <v>0.048632820466205186</v>
      </c>
    </row>
    <row r="145" spans="1:21" ht="12.75">
      <c r="A145" s="91">
        <f t="shared" si="79"/>
        <v>1994.199999999987</v>
      </c>
      <c r="B145" s="171">
        <f t="shared" si="74"/>
        <v>54.11981102397668</v>
      </c>
      <c r="C145" s="171">
        <f t="shared" si="75"/>
        <v>0.5665269010732086</v>
      </c>
      <c r="D145" s="172">
        <f t="shared" si="76"/>
        <v>0.02727124768769274</v>
      </c>
      <c r="E145" s="171">
        <f t="shared" si="61"/>
        <v>54.713609172737584</v>
      </c>
      <c r="F145" s="171"/>
      <c r="G145" s="171">
        <f t="shared" si="70"/>
        <v>0.16345964308401217</v>
      </c>
      <c r="H145" s="171">
        <f t="shared" si="71"/>
        <v>0.16342249084150282</v>
      </c>
      <c r="I145" s="91">
        <f t="shared" si="72"/>
        <v>0.12191522103127883</v>
      </c>
      <c r="J145" s="91">
        <f t="shared" si="58"/>
        <v>29.745695056150083</v>
      </c>
      <c r="K145" s="172">
        <f t="shared" si="77"/>
        <v>0.01161848706292357</v>
      </c>
      <c r="L145" s="177">
        <f t="shared" si="62"/>
        <v>1.0294182725415741</v>
      </c>
      <c r="M145" s="178">
        <f t="shared" si="63"/>
        <v>0.01482633351709227</v>
      </c>
      <c r="N145" s="403">
        <f t="shared" si="73"/>
        <v>0</v>
      </c>
      <c r="O145" s="177">
        <f t="shared" si="78"/>
        <v>0.0008221277378752883</v>
      </c>
      <c r="P145" s="174">
        <f>O134*$Y$6+O123*$Y$7+O112*$Y$8+O101*$Y$9+O90*$Y$10+O79*$Y$11+O68*$Y$12+O57*$Y$13+O46*$Y$14+O35*$Y$15+O24*$Y$16+O13*$Y$17</f>
        <v>0.0001029418272541574</v>
      </c>
      <c r="Q145" s="179">
        <f t="shared" si="64"/>
        <v>0.0004984362775556272</v>
      </c>
      <c r="R145" s="179">
        <f t="shared" si="65"/>
        <v>0.010852841874974975</v>
      </c>
      <c r="S145" s="180">
        <f t="shared" si="66"/>
        <v>0.04592679809561646</v>
      </c>
      <c r="T145" s="179">
        <f t="shared" si="67"/>
        <v>0.989147158125025</v>
      </c>
      <c r="U145" s="181">
        <f t="shared" si="68"/>
        <v>0.049843627755562725</v>
      </c>
    </row>
    <row r="146" spans="1:21" ht="12.75">
      <c r="A146" s="91">
        <f t="shared" si="79"/>
        <v>1994.299999999987</v>
      </c>
      <c r="B146" s="171">
        <f t="shared" si="74"/>
        <v>54.013999084501705</v>
      </c>
      <c r="C146" s="171">
        <f t="shared" si="75"/>
        <v>0.5647361354557568</v>
      </c>
      <c r="D146" s="172">
        <f t="shared" si="76"/>
        <v>0.02789414572103403</v>
      </c>
      <c r="E146" s="171">
        <f t="shared" si="61"/>
        <v>54.6066293656785</v>
      </c>
      <c r="F146" s="171"/>
      <c r="G146" s="171">
        <f t="shared" si="70"/>
        <v>0.16314003556143283</v>
      </c>
      <c r="H146" s="171">
        <f t="shared" si="71"/>
        <v>0.16310203473073054</v>
      </c>
      <c r="I146" s="91">
        <f t="shared" si="72"/>
        <v>0.12206276600003779</v>
      </c>
      <c r="J146" s="91">
        <f t="shared" si="58"/>
        <v>29.745695056150083</v>
      </c>
      <c r="K146" s="172">
        <f t="shared" si="77"/>
        <v>0.011631064134805611</v>
      </c>
      <c r="L146" s="177">
        <f t="shared" si="62"/>
        <v>1.0553591339676098</v>
      </c>
      <c r="M146" s="178">
        <f t="shared" si="63"/>
        <v>0.015194689035159465</v>
      </c>
      <c r="N146" s="403">
        <f t="shared" si="73"/>
        <v>0</v>
      </c>
      <c r="O146" s="177">
        <f t="shared" si="78"/>
        <v>0.0008399516781716129</v>
      </c>
      <c r="P146" s="174">
        <f aca="true" t="shared" si="81" ref="P146:P155">O135*$Y$6+O124*$Y$7+O113*$Y$8+O102*$Y$9+O91*$Y$10+O80*$Y$11+O69*$Y$12+O58*$Y$13+O47*$Y$14+O36*$Y$15+O25*$Y$16+O14*$Y$17+O3*$Y$18</f>
        <v>0.00010553591339676098</v>
      </c>
      <c r="Q146" s="179">
        <f t="shared" si="64"/>
        <v>0.0005108197675823977</v>
      </c>
      <c r="R146" s="179">
        <f t="shared" si="65"/>
        <v>0.010852716749978938</v>
      </c>
      <c r="S146" s="180">
        <f t="shared" si="66"/>
        <v>0.04706837737964451</v>
      </c>
      <c r="T146" s="179">
        <f t="shared" si="67"/>
        <v>0.989147283250021</v>
      </c>
      <c r="U146" s="181">
        <f t="shared" si="68"/>
        <v>0.05108197675823977</v>
      </c>
    </row>
    <row r="147" spans="1:21" ht="12.75">
      <c r="A147" s="91">
        <f t="shared" si="79"/>
        <v>1994.399999999987</v>
      </c>
      <c r="B147" s="171">
        <f t="shared" si="74"/>
        <v>53.908774143167705</v>
      </c>
      <c r="C147" s="171">
        <f t="shared" si="75"/>
        <v>0.5629381928129275</v>
      </c>
      <c r="D147" s="172">
        <f t="shared" si="76"/>
        <v>0.028529990577528946</v>
      </c>
      <c r="E147" s="171">
        <f t="shared" si="61"/>
        <v>54.500242326558165</v>
      </c>
      <c r="F147" s="171"/>
      <c r="G147" s="171">
        <f t="shared" si="70"/>
        <v>0.1628221989627089</v>
      </c>
      <c r="H147" s="171">
        <f t="shared" si="71"/>
        <v>0.1627833319060613</v>
      </c>
      <c r="I147" s="91">
        <f t="shared" si="72"/>
        <v>0.12221048953155227</v>
      </c>
      <c r="J147" s="91">
        <f t="shared" si="58"/>
        <v>29.745695056150083</v>
      </c>
      <c r="K147" s="172">
        <f t="shared" si="77"/>
        <v>0.01164545702538884</v>
      </c>
      <c r="L147" s="177">
        <f t="shared" si="62"/>
        <v>1.753160641849397</v>
      </c>
      <c r="M147" s="178">
        <f t="shared" si="63"/>
        <v>0.015571387638775027</v>
      </c>
      <c r="N147" s="403">
        <f t="shared" si="73"/>
        <v>0</v>
      </c>
      <c r="O147" s="177">
        <f t="shared" si="78"/>
        <v>0.0008580989965167919</v>
      </c>
      <c r="P147" s="174">
        <f t="shared" si="81"/>
        <v>0.0001753160641849397</v>
      </c>
      <c r="Q147" s="179">
        <f t="shared" si="64"/>
        <v>0.0005234837380461734</v>
      </c>
      <c r="R147" s="179">
        <f t="shared" si="65"/>
        <v>0.010852578963712823</v>
      </c>
      <c r="S147" s="180">
        <f t="shared" si="66"/>
        <v>0.04823588382047414</v>
      </c>
      <c r="T147" s="179">
        <f t="shared" si="67"/>
        <v>0.9891474210362871</v>
      </c>
      <c r="U147" s="181">
        <f t="shared" si="68"/>
        <v>0.052348373804617335</v>
      </c>
    </row>
    <row r="148" spans="1:21" ht="12.75">
      <c r="A148" s="91">
        <f t="shared" si="79"/>
        <v>1994.4999999999868</v>
      </c>
      <c r="B148" s="171">
        <f t="shared" si="74"/>
        <v>53.804133735529966</v>
      </c>
      <c r="C148" s="171">
        <f t="shared" si="75"/>
        <v>0.5611329636403236</v>
      </c>
      <c r="D148" s="172">
        <f t="shared" si="76"/>
        <v>0.02911186858562463</v>
      </c>
      <c r="E148" s="171">
        <f t="shared" si="61"/>
        <v>54.394378567755915</v>
      </c>
      <c r="F148" s="171"/>
      <c r="G148" s="171">
        <f t="shared" si="70"/>
        <v>0.16250592569009922</v>
      </c>
      <c r="H148" s="171">
        <f t="shared" si="71"/>
        <v>0.1624662659277744</v>
      </c>
      <c r="I148" s="91">
        <f t="shared" si="72"/>
        <v>0.12235839184192353</v>
      </c>
      <c r="J148" s="91">
        <f t="shared" si="58"/>
        <v>29.745695056150083</v>
      </c>
      <c r="K148" s="172">
        <f t="shared" si="77"/>
        <v>0.011661326680595314</v>
      </c>
      <c r="L148" s="177">
        <f t="shared" si="62"/>
        <v>1.1308081266166947</v>
      </c>
      <c r="M148" s="178">
        <f t="shared" si="63"/>
        <v>0.015919894449828827</v>
      </c>
      <c r="N148" s="403">
        <f t="shared" si="73"/>
        <v>0</v>
      </c>
      <c r="O148" s="177">
        <f t="shared" si="78"/>
        <v>0.0008765728816961572</v>
      </c>
      <c r="P148" s="174">
        <f t="shared" si="81"/>
        <v>0.00011308081266166947</v>
      </c>
      <c r="Q148" s="179">
        <f t="shared" si="64"/>
        <v>0.0005351999480858426</v>
      </c>
      <c r="R148" s="179">
        <f t="shared" si="65"/>
        <v>0.010851210139127054</v>
      </c>
      <c r="S148" s="180">
        <f t="shared" si="66"/>
        <v>0.04932168313246745</v>
      </c>
      <c r="T148" s="179">
        <f t="shared" si="67"/>
        <v>0.989148789860873</v>
      </c>
      <c r="U148" s="181">
        <f t="shared" si="68"/>
        <v>0.053519994808584256</v>
      </c>
    </row>
    <row r="149" spans="1:21" ht="12.75">
      <c r="A149" s="91">
        <f t="shared" si="79"/>
        <v>1994.5999999999867</v>
      </c>
      <c r="B149" s="171">
        <f t="shared" si="74"/>
        <v>53.70005807547269</v>
      </c>
      <c r="C149" s="171">
        <f t="shared" si="75"/>
        <v>0.5593397266695838</v>
      </c>
      <c r="D149" s="172">
        <f t="shared" si="76"/>
        <v>0.029770291951044348</v>
      </c>
      <c r="E149" s="171">
        <f t="shared" si="61"/>
        <v>54.28916809409332</v>
      </c>
      <c r="F149" s="171"/>
      <c r="G149" s="171">
        <f t="shared" si="70"/>
        <v>0.1621916041395085</v>
      </c>
      <c r="H149" s="171">
        <f t="shared" si="71"/>
        <v>0.16215104739202094</v>
      </c>
      <c r="I149" s="91">
        <f t="shared" si="72"/>
        <v>0.12250647314751441</v>
      </c>
      <c r="J149" s="91">
        <f t="shared" si="58"/>
        <v>29.745695056150083</v>
      </c>
      <c r="K149" s="172">
        <f t="shared" si="77"/>
        <v>0.011820147528154598</v>
      </c>
      <c r="L149" s="177">
        <f t="shared" si="62"/>
        <v>1.149749291781541</v>
      </c>
      <c r="M149" s="178">
        <f t="shared" si="63"/>
        <v>0.01631150480282772</v>
      </c>
      <c r="N149" s="403">
        <f t="shared" si="73"/>
        <v>0</v>
      </c>
      <c r="O149" s="177">
        <f t="shared" si="78"/>
        <v>0.0008933177553473589</v>
      </c>
      <c r="P149" s="174">
        <f t="shared" si="81"/>
        <v>0.0001149749291781541</v>
      </c>
      <c r="Q149" s="179">
        <f t="shared" si="64"/>
        <v>0.0005483652263642509</v>
      </c>
      <c r="R149" s="179">
        <f t="shared" si="65"/>
        <v>0.010851336266556707</v>
      </c>
      <c r="S149" s="180">
        <f t="shared" si="66"/>
        <v>0.05053435013845124</v>
      </c>
      <c r="T149" s="179">
        <f t="shared" si="67"/>
        <v>0.9891486637334432</v>
      </c>
      <c r="U149" s="181">
        <f t="shared" si="68"/>
        <v>0.05483652263642509</v>
      </c>
    </row>
    <row r="150" spans="1:21" ht="12.75">
      <c r="A150" s="91">
        <f t="shared" si="79"/>
        <v>1994.6999999999866</v>
      </c>
      <c r="B150" s="171">
        <f t="shared" si="74"/>
        <v>53.596566215929734</v>
      </c>
      <c r="C150" s="171">
        <f t="shared" si="75"/>
        <v>0.5575348902760616</v>
      </c>
      <c r="D150" s="172">
        <f t="shared" si="76"/>
        <v>0.030443115649743988</v>
      </c>
      <c r="E150" s="171">
        <f t="shared" si="61"/>
        <v>54.18454422185554</v>
      </c>
      <c r="F150" s="171"/>
      <c r="G150" s="171">
        <f t="shared" si="70"/>
        <v>0.16187903509000456</v>
      </c>
      <c r="H150" s="171">
        <f t="shared" si="71"/>
        <v>0.16183756173945185</v>
      </c>
      <c r="I150" s="91">
        <f t="shared" si="72"/>
        <v>0.12265473366494957</v>
      </c>
      <c r="J150" s="91">
        <f t="shared" si="58"/>
        <v>29.745695056150083</v>
      </c>
      <c r="K150" s="172">
        <f t="shared" si="77"/>
        <v>0.011805424367370313</v>
      </c>
      <c r="L150" s="177">
        <f t="shared" si="62"/>
        <v>1.1783802019587597</v>
      </c>
      <c r="M150" s="178">
        <f t="shared" si="63"/>
        <v>0.016712360465166325</v>
      </c>
      <c r="N150" s="403">
        <f t="shared" si="73"/>
        <v>0</v>
      </c>
      <c r="O150" s="177">
        <f t="shared" si="78"/>
        <v>0.0009123672637983259</v>
      </c>
      <c r="P150" s="174">
        <f t="shared" si="81"/>
        <v>0.00011783802019587597</v>
      </c>
      <c r="Q150" s="179">
        <f t="shared" si="64"/>
        <v>0.0005618413163188451</v>
      </c>
      <c r="R150" s="179">
        <f t="shared" si="65"/>
        <v>0.010851397098005717</v>
      </c>
      <c r="S150" s="180">
        <f t="shared" si="66"/>
        <v>0.05177594288039657</v>
      </c>
      <c r="T150" s="179">
        <f t="shared" si="67"/>
        <v>0.9891486029019942</v>
      </c>
      <c r="U150" s="181">
        <f t="shared" si="68"/>
        <v>0.056184131631884515</v>
      </c>
    </row>
    <row r="151" spans="1:21" ht="12.75">
      <c r="A151" s="91">
        <f t="shared" si="79"/>
        <v>1994.7999999999865</v>
      </c>
      <c r="B151" s="171">
        <f t="shared" si="74"/>
        <v>53.49365495894692</v>
      </c>
      <c r="C151" s="171">
        <f t="shared" si="75"/>
        <v>0.5557190819326375</v>
      </c>
      <c r="D151" s="172">
        <f t="shared" si="76"/>
        <v>0.031129666085089953</v>
      </c>
      <c r="E151" s="171">
        <f t="shared" si="61"/>
        <v>54.08050370696465</v>
      </c>
      <c r="F151" s="171"/>
      <c r="G151" s="171">
        <f t="shared" si="70"/>
        <v>0.16156820884974227</v>
      </c>
      <c r="H151" s="171">
        <f t="shared" si="71"/>
        <v>0.16152580019587814</v>
      </c>
      <c r="I151" s="91">
        <f t="shared" si="72"/>
        <v>0.12280317361111585</v>
      </c>
      <c r="J151" s="91">
        <f t="shared" si="58"/>
        <v>29.745695056150083</v>
      </c>
      <c r="K151" s="172">
        <f t="shared" si="77"/>
        <v>0.011798329843390168</v>
      </c>
      <c r="L151" s="177">
        <f t="shared" si="62"/>
        <v>1.2077177758745603</v>
      </c>
      <c r="M151" s="178">
        <f t="shared" si="63"/>
        <v>0.01712213258190518</v>
      </c>
      <c r="N151" s="403">
        <f t="shared" si="73"/>
        <v>0</v>
      </c>
      <c r="O151" s="177">
        <f t="shared" si="78"/>
        <v>0.0009317724058200499</v>
      </c>
      <c r="P151" s="174">
        <f t="shared" si="81"/>
        <v>0.00012077177758745604</v>
      </c>
      <c r="Q151" s="179">
        <f t="shared" si="64"/>
        <v>0.000575617162402298</v>
      </c>
      <c r="R151" s="179">
        <f t="shared" si="65"/>
        <v>0.010851392050591262</v>
      </c>
      <c r="S151" s="180">
        <f t="shared" si="66"/>
        <v>0.053045467320566884</v>
      </c>
      <c r="T151" s="179">
        <f t="shared" si="67"/>
        <v>0.9891486079494087</v>
      </c>
      <c r="U151" s="181">
        <f t="shared" si="68"/>
        <v>0.05756171624022981</v>
      </c>
    </row>
    <row r="152" spans="1:21" ht="12.75">
      <c r="A152" s="91">
        <f t="shared" si="79"/>
        <v>1994.8999999999864</v>
      </c>
      <c r="B152" s="171">
        <f t="shared" si="74"/>
        <v>53.39132111008568</v>
      </c>
      <c r="C152" s="171">
        <f t="shared" si="75"/>
        <v>0.5538929601709529</v>
      </c>
      <c r="D152" s="172">
        <f t="shared" si="76"/>
        <v>0.03183014718562659</v>
      </c>
      <c r="E152" s="171">
        <f t="shared" si="61"/>
        <v>53.977044217442256</v>
      </c>
      <c r="F152" s="171"/>
      <c r="G152" s="171">
        <f t="shared" si="70"/>
        <v>0.16125911845181962</v>
      </c>
      <c r="H152" s="171">
        <f t="shared" si="71"/>
        <v>0.16121575551658132</v>
      </c>
      <c r="I152" s="91">
        <f t="shared" si="72"/>
        <v>0.12295179320316256</v>
      </c>
      <c r="J152" s="91">
        <f t="shared" si="58"/>
        <v>29.745695056150083</v>
      </c>
      <c r="K152" s="172">
        <f t="shared" si="77"/>
        <v>0.011798918342470646</v>
      </c>
      <c r="L152" s="177">
        <f t="shared" si="62"/>
        <v>1.2377541150745768</v>
      </c>
      <c r="M152" s="178">
        <f t="shared" si="63"/>
        <v>0.017540972565334878</v>
      </c>
      <c r="N152" s="403">
        <f t="shared" si="73"/>
        <v>0</v>
      </c>
      <c r="O152" s="177">
        <f t="shared" si="78"/>
        <v>0.0009515095799145246</v>
      </c>
      <c r="P152" s="174">
        <f t="shared" si="81"/>
        <v>0.00012377541150745768</v>
      </c>
      <c r="Q152" s="179">
        <f t="shared" si="64"/>
        <v>0.0005896978548399456</v>
      </c>
      <c r="R152" s="179">
        <f t="shared" si="65"/>
        <v>0.010851337190622003</v>
      </c>
      <c r="S152" s="180">
        <f t="shared" si="66"/>
        <v>0.05434333524808142</v>
      </c>
      <c r="T152" s="179">
        <f t="shared" si="67"/>
        <v>0.989148662809378</v>
      </c>
      <c r="U152" s="181">
        <f t="shared" si="68"/>
        <v>0.05896978548399456</v>
      </c>
    </row>
    <row r="153" spans="1:23" ht="12.75">
      <c r="A153" s="91">
        <f t="shared" si="79"/>
        <v>1994.9999999999864</v>
      </c>
      <c r="B153" s="171">
        <f t="shared" si="74"/>
        <v>53.28956171566718</v>
      </c>
      <c r="C153" s="171">
        <f t="shared" si="75"/>
        <v>0.5520569502556133</v>
      </c>
      <c r="D153" s="172">
        <f t="shared" si="76"/>
        <v>0.03254476615220729</v>
      </c>
      <c r="E153" s="171">
        <f t="shared" si="61"/>
        <v>53.874163432075</v>
      </c>
      <c r="F153" s="171"/>
      <c r="G153" s="171">
        <f t="shared" si="70"/>
        <v>0.1609517569614957</v>
      </c>
      <c r="H153" s="171">
        <f t="shared" si="71"/>
        <v>0.16090742048454587</v>
      </c>
      <c r="I153" s="91">
        <f aca="true" t="shared" si="82" ref="I153:I216">H3*l</f>
        <v>0.1231005926585018</v>
      </c>
      <c r="J153" s="91">
        <f t="shared" si="58"/>
        <v>29.745695056150083</v>
      </c>
      <c r="K153" s="172">
        <f t="shared" si="77"/>
        <v>0.01180531656588192</v>
      </c>
      <c r="L153" s="177">
        <f t="shared" si="62"/>
        <v>1.2685051284095148</v>
      </c>
      <c r="M153" s="178">
        <f t="shared" si="63"/>
        <v>0.017969034282227316</v>
      </c>
      <c r="N153" s="403">
        <f t="shared" si="73"/>
        <v>0</v>
      </c>
      <c r="O153" s="177">
        <f t="shared" si="78"/>
        <v>0.0009715821218490811</v>
      </c>
      <c r="P153" s="174">
        <f t="shared" si="81"/>
        <v>0.00012685051284095148</v>
      </c>
      <c r="Q153" s="179">
        <f t="shared" si="64"/>
        <v>0.0006040885663726362</v>
      </c>
      <c r="R153" s="179">
        <f t="shared" si="65"/>
        <v>0.010851244440108872</v>
      </c>
      <c r="S153" s="180">
        <f t="shared" si="66"/>
        <v>0.055669980499174467</v>
      </c>
      <c r="T153" s="179">
        <f t="shared" si="67"/>
        <v>0.9891487555598912</v>
      </c>
      <c r="U153" s="181">
        <f t="shared" si="68"/>
        <v>0.06040885663726362</v>
      </c>
      <c r="V153">
        <f>IF(ISNUMBER('Set-up'!$N$22)=FALSE,"",('Set-up'!$N$22-'EPP model'!U153)^2)</f>
      </c>
      <c r="W153" t="e">
        <f>IF(ISNUMBER('Set-up'!$N$22)=FALSE,NA()=FALSE,('Set-up'!$N$22))</f>
        <v>#N/A</v>
      </c>
    </row>
    <row r="154" spans="1:21" ht="12.75">
      <c r="A154" s="91">
        <f t="shared" si="79"/>
        <v>1995.0999999999863</v>
      </c>
      <c r="B154" s="171">
        <f t="shared" si="74"/>
        <v>53.187879031134415</v>
      </c>
      <c r="C154" s="171">
        <f t="shared" si="75"/>
        <v>0.5502053862590274</v>
      </c>
      <c r="D154" s="172">
        <f t="shared" si="76"/>
        <v>0.033273730722669065</v>
      </c>
      <c r="E154" s="171">
        <f t="shared" si="61"/>
        <v>53.771358148116114</v>
      </c>
      <c r="F154" s="171"/>
      <c r="G154" s="171">
        <f t="shared" si="70"/>
        <v>0.16064462103540433</v>
      </c>
      <c r="H154" s="171">
        <f t="shared" si="71"/>
        <v>0.16059929147339977</v>
      </c>
      <c r="I154" s="91">
        <f t="shared" si="82"/>
        <v>0.12274868232188901</v>
      </c>
      <c r="J154" s="91">
        <f t="shared" si="58"/>
        <v>29.745695056150083</v>
      </c>
      <c r="K154" s="172">
        <f t="shared" si="77"/>
        <v>0.011816141696250317</v>
      </c>
      <c r="L154" s="177">
        <f t="shared" si="62"/>
        <v>1.2999869258498873</v>
      </c>
      <c r="M154" s="178">
        <f t="shared" si="63"/>
        <v>0.018406644011680823</v>
      </c>
      <c r="N154" s="403">
        <f t="shared" si="73"/>
        <v>0</v>
      </c>
      <c r="O154" s="177">
        <f t="shared" si="78"/>
        <v>0.0009919930264884976</v>
      </c>
      <c r="P154" s="174">
        <f t="shared" si="81"/>
        <v>0.00012999869258498872</v>
      </c>
      <c r="Q154" s="179">
        <f t="shared" si="64"/>
        <v>0.000618800265952271</v>
      </c>
      <c r="R154" s="179">
        <f t="shared" si="65"/>
        <v>0.010851113623994239</v>
      </c>
      <c r="S154" s="180">
        <f t="shared" si="66"/>
        <v>0.05702642948867158</v>
      </c>
      <c r="T154" s="179">
        <f t="shared" si="67"/>
        <v>0.9891488863760057</v>
      </c>
      <c r="U154" s="181">
        <f t="shared" si="68"/>
        <v>0.0618800265952271</v>
      </c>
    </row>
    <row r="155" spans="1:21" ht="12.75">
      <c r="A155" s="91">
        <f t="shared" si="79"/>
        <v>1995.1999999999862</v>
      </c>
      <c r="B155" s="171">
        <f t="shared" si="74"/>
        <v>53.08627443122714</v>
      </c>
      <c r="C155" s="171">
        <f t="shared" si="75"/>
        <v>0.5483385586718166</v>
      </c>
      <c r="D155" s="172">
        <f t="shared" si="76"/>
        <v>0.03401724732859395</v>
      </c>
      <c r="E155" s="171">
        <f t="shared" si="61"/>
        <v>53.668630237227546</v>
      </c>
      <c r="F155" s="171"/>
      <c r="G155" s="171">
        <f t="shared" si="70"/>
        <v>0.1603377162652292</v>
      </c>
      <c r="H155" s="171">
        <f t="shared" si="71"/>
        <v>0.1602913737936002</v>
      </c>
      <c r="I155" s="91">
        <f t="shared" si="82"/>
        <v>0.1223990326482412</v>
      </c>
      <c r="J155" s="91">
        <f t="shared" si="58"/>
        <v>29.745695056150083</v>
      </c>
      <c r="K155" s="172">
        <f t="shared" si="77"/>
        <v>0.011831426225540521</v>
      </c>
      <c r="L155" s="177">
        <f t="shared" si="62"/>
        <v>1.3322158131261936</v>
      </c>
      <c r="M155" s="178">
        <f t="shared" si="63"/>
        <v>0.018853968532703574</v>
      </c>
      <c r="N155" s="403">
        <f t="shared" si="73"/>
        <v>0</v>
      </c>
      <c r="O155" s="177">
        <f t="shared" si="78"/>
        <v>0.001012743467817926</v>
      </c>
      <c r="P155" s="174">
        <f t="shared" si="81"/>
        <v>0.00013322158131261937</v>
      </c>
      <c r="Q155" s="179">
        <f t="shared" si="64"/>
        <v>0.0006338385604072618</v>
      </c>
      <c r="R155" s="179">
        <f t="shared" si="65"/>
        <v>0.010850953404740635</v>
      </c>
      <c r="S155" s="180">
        <f t="shared" si="66"/>
        <v>0.058413167651272586</v>
      </c>
      <c r="T155" s="179">
        <f t="shared" si="67"/>
        <v>0.9891490465952594</v>
      </c>
      <c r="U155" s="181">
        <f t="shared" si="68"/>
        <v>0.06338385604072617</v>
      </c>
    </row>
    <row r="156" spans="1:21" ht="12.75">
      <c r="A156" s="91">
        <f t="shared" si="79"/>
        <v>1995.299999999986</v>
      </c>
      <c r="B156" s="171">
        <f t="shared" si="74"/>
        <v>52.98474881863806</v>
      </c>
      <c r="C156" s="171">
        <f t="shared" si="75"/>
        <v>0.5464566210160159</v>
      </c>
      <c r="D156" s="172">
        <f t="shared" si="76"/>
        <v>0.034775522254423</v>
      </c>
      <c r="E156" s="171">
        <f t="shared" si="61"/>
        <v>53.565980961908494</v>
      </c>
      <c r="F156" s="171"/>
      <c r="G156" s="171">
        <f t="shared" si="70"/>
        <v>0.16003104642274976</v>
      </c>
      <c r="H156" s="171">
        <f t="shared" si="71"/>
        <v>0.15998367093590066</v>
      </c>
      <c r="I156" s="91">
        <f t="shared" si="82"/>
        <v>0.12205104393697476</v>
      </c>
      <c r="J156" s="91">
        <f t="shared" si="58"/>
        <v>29.745695056150083</v>
      </c>
      <c r="K156" s="172">
        <f t="shared" si="77"/>
        <v>0.011850172827640771</v>
      </c>
      <c r="L156" s="177">
        <f t="shared" si="62"/>
        <v>1.365208309763992</v>
      </c>
      <c r="M156" s="178">
        <f t="shared" si="63"/>
        <v>0.019311175896022874</v>
      </c>
      <c r="N156" s="403">
        <f t="shared" si="73"/>
        <v>0</v>
      </c>
      <c r="O156" s="177">
        <f t="shared" si="78"/>
        <v>0.0010338357930466462</v>
      </c>
      <c r="P156" s="174">
        <f>O145*$Y$6+O134*$Y$7+O123*$Y$8+O112*$Y$9+O101*$Y$10+O90*$Y$11+O79*$Y$12+O68*$Y$13+O57*$Y$14+O46*$Y$15+O35*$Y$16+O24*$Y$17+O13*$Y$18</f>
        <v>0.0001365208309763992</v>
      </c>
      <c r="Q156" s="179">
        <f t="shared" si="64"/>
        <v>0.0006492090993190688</v>
      </c>
      <c r="R156" s="179">
        <f t="shared" si="65"/>
        <v>0.010850770075204281</v>
      </c>
      <c r="S156" s="180">
        <f t="shared" si="66"/>
        <v>0.05983069356548378</v>
      </c>
      <c r="T156" s="179">
        <f t="shared" si="67"/>
        <v>0.9891492299247958</v>
      </c>
      <c r="U156" s="181">
        <f t="shared" si="68"/>
        <v>0.06492090993190688</v>
      </c>
    </row>
    <row r="157" spans="1:21" ht="12.75">
      <c r="A157" s="91">
        <f t="shared" si="79"/>
        <v>1995.399999999986</v>
      </c>
      <c r="B157" s="171">
        <f t="shared" si="74"/>
        <v>52.88330317703244</v>
      </c>
      <c r="C157" s="171">
        <f t="shared" si="75"/>
        <v>0.5445596327056551</v>
      </c>
      <c r="D157" s="172">
        <f t="shared" si="76"/>
        <v>0.03554876126010714</v>
      </c>
      <c r="E157" s="171">
        <f t="shared" si="61"/>
        <v>53.463411570998204</v>
      </c>
      <c r="F157" s="171"/>
      <c r="G157" s="171">
        <f t="shared" si="70"/>
        <v>0.15972461523893572</v>
      </c>
      <c r="H157" s="171">
        <f t="shared" si="71"/>
        <v>0.15967618635095931</v>
      </c>
      <c r="I157" s="91">
        <f t="shared" si="82"/>
        <v>0.12170470946282555</v>
      </c>
      <c r="J157" s="91">
        <f t="shared" si="58"/>
        <v>29.745695056150083</v>
      </c>
      <c r="K157" s="172">
        <f t="shared" si="77"/>
        <v>0.011871659473997577</v>
      </c>
      <c r="L157" s="177">
        <f t="shared" si="62"/>
        <v>1.3989811635041274</v>
      </c>
      <c r="M157" s="178">
        <f t="shared" si="63"/>
        <v>0.019778435026780797</v>
      </c>
      <c r="N157" s="403">
        <f t="shared" si="73"/>
        <v>0</v>
      </c>
      <c r="O157" s="177">
        <f t="shared" si="78"/>
        <v>0.0010552719927986592</v>
      </c>
      <c r="P157" s="174">
        <f aca="true" t="shared" si="83" ref="P157:P166">O146*$Y$6+O135*$Y$7+O124*$Y$8+O113*$Y$9+O102*$Y$10+O91*$Y$11+O80*$Y$12+O69*$Y$13+O58*$Y$14+O47*$Y$15+O36*$Y$16+O25*$Y$17+O14*$Y$18+O3*$Y$19</f>
        <v>0.00013989811635041274</v>
      </c>
      <c r="Q157" s="179">
        <f t="shared" si="64"/>
        <v>0.0006649175616654988</v>
      </c>
      <c r="R157" s="179">
        <f t="shared" si="65"/>
        <v>0.010850568209538806</v>
      </c>
      <c r="S157" s="180">
        <f t="shared" si="66"/>
        <v>0.06127951539726421</v>
      </c>
      <c r="T157" s="179">
        <f t="shared" si="67"/>
        <v>0.9891494317904611</v>
      </c>
      <c r="U157" s="181">
        <f t="shared" si="68"/>
        <v>0.06649175616654988</v>
      </c>
    </row>
    <row r="158" spans="1:21" ht="12.75">
      <c r="A158" s="91">
        <f t="shared" si="79"/>
        <v>1995.499999999986</v>
      </c>
      <c r="B158" s="171">
        <f t="shared" si="74"/>
        <v>52.78193854555835</v>
      </c>
      <c r="C158" s="171">
        <f t="shared" si="75"/>
        <v>0.5426475849458159</v>
      </c>
      <c r="D158" s="172">
        <f t="shared" si="76"/>
        <v>0.036337169234149994</v>
      </c>
      <c r="E158" s="171">
        <f t="shared" si="61"/>
        <v>53.36092329973832</v>
      </c>
      <c r="F158" s="171"/>
      <c r="G158" s="171">
        <f t="shared" si="70"/>
        <v>0.15941842640413323</v>
      </c>
      <c r="H158" s="171">
        <f t="shared" si="71"/>
        <v>0.1593689234499981</v>
      </c>
      <c r="I158" s="91">
        <f t="shared" si="82"/>
        <v>0.12136002252853101</v>
      </c>
      <c r="J158" s="91">
        <f t="shared" si="58"/>
        <v>29.745695056150083</v>
      </c>
      <c r="K158" s="172">
        <f t="shared" si="77"/>
        <v>0.011895363125043102</v>
      </c>
      <c r="L158" s="177">
        <f t="shared" si="62"/>
        <v>1.9369738955008924</v>
      </c>
      <c r="M158" s="178">
        <f t="shared" si="63"/>
        <v>0.02025591553525546</v>
      </c>
      <c r="N158" s="403">
        <f t="shared" si="73"/>
        <v>0</v>
      </c>
      <c r="O158" s="177">
        <f t="shared" si="78"/>
        <v>0.0010770537313676415</v>
      </c>
      <c r="P158" s="174">
        <f t="shared" si="83"/>
        <v>0.00019369738955008923</v>
      </c>
      <c r="Q158" s="179">
        <f t="shared" si="64"/>
        <v>0.0006809696494574747</v>
      </c>
      <c r="R158" s="179">
        <f t="shared" si="65"/>
        <v>0.010850351125442487</v>
      </c>
      <c r="S158" s="180">
        <f t="shared" si="66"/>
        <v>0.06276014864262783</v>
      </c>
      <c r="T158" s="179">
        <f t="shared" si="67"/>
        <v>0.9891496488745575</v>
      </c>
      <c r="U158" s="181">
        <f t="shared" si="68"/>
        <v>0.06809696494574746</v>
      </c>
    </row>
    <row r="159" spans="1:21" ht="12.75">
      <c r="A159" s="91">
        <f t="shared" si="79"/>
        <v>1995.5999999999858</v>
      </c>
      <c r="B159" s="171">
        <f t="shared" si="74"/>
        <v>52.68065600032533</v>
      </c>
      <c r="C159" s="171">
        <f t="shared" si="75"/>
        <v>0.5407204196435285</v>
      </c>
      <c r="D159" s="172">
        <f t="shared" si="76"/>
        <v>0.03709060761147294</v>
      </c>
      <c r="E159" s="171">
        <f t="shared" si="61"/>
        <v>53.25846702758033</v>
      </c>
      <c r="F159" s="171"/>
      <c r="G159" s="171">
        <f t="shared" si="70"/>
        <v>0.15911233316824763</v>
      </c>
      <c r="H159" s="171">
        <f t="shared" si="71"/>
        <v>0.1590618037878327</v>
      </c>
      <c r="I159" s="91">
        <f t="shared" si="82"/>
        <v>0.12101697646470172</v>
      </c>
      <c r="J159" s="91">
        <f t="shared" si="58"/>
        <v>29.745695056150083</v>
      </c>
      <c r="K159" s="172">
        <f t="shared" si="77"/>
        <v>0.01192090594840764</v>
      </c>
      <c r="L159" s="177">
        <f t="shared" si="62"/>
        <v>1.4851819784775364</v>
      </c>
      <c r="M159" s="178">
        <f t="shared" si="63"/>
        <v>0.020715690199773262</v>
      </c>
      <c r="N159" s="403">
        <f t="shared" si="73"/>
        <v>0</v>
      </c>
      <c r="O159" s="177">
        <f t="shared" si="78"/>
        <v>0.001099182364607281</v>
      </c>
      <c r="P159" s="174">
        <f t="shared" si="83"/>
        <v>0.00014851819784775363</v>
      </c>
      <c r="Q159" s="179">
        <f t="shared" si="64"/>
        <v>0.0006964264966970467</v>
      </c>
      <c r="R159" s="179">
        <f t="shared" si="65"/>
        <v>0.010849186232787687</v>
      </c>
      <c r="S159" s="180">
        <f t="shared" si="66"/>
        <v>0.06419158836008852</v>
      </c>
      <c r="T159" s="179">
        <f t="shared" si="67"/>
        <v>0.9891508137672123</v>
      </c>
      <c r="U159" s="181">
        <f t="shared" si="68"/>
        <v>0.06964264966970467</v>
      </c>
    </row>
    <row r="160" spans="1:21" ht="12.75">
      <c r="A160" s="91">
        <f t="shared" si="79"/>
        <v>1995.6999999999857</v>
      </c>
      <c r="B160" s="171">
        <f t="shared" si="74"/>
        <v>52.57944326005525</v>
      </c>
      <c r="C160" s="171">
        <f t="shared" si="75"/>
        <v>0.5387929434148571</v>
      </c>
      <c r="D160" s="172">
        <f t="shared" si="76"/>
        <v>0.03790702985316089</v>
      </c>
      <c r="E160" s="171">
        <f t="shared" si="61"/>
        <v>53.15614323332326</v>
      </c>
      <c r="F160" s="171"/>
      <c r="G160" s="171">
        <f t="shared" si="70"/>
        <v>0.15880663571671494</v>
      </c>
      <c r="H160" s="171">
        <f t="shared" si="71"/>
        <v>0.1587549941056657</v>
      </c>
      <c r="I160" s="91">
        <f t="shared" si="82"/>
        <v>0.12067556462969287</v>
      </c>
      <c r="J160" s="91">
        <f t="shared" si="58"/>
        <v>29.745695056150083</v>
      </c>
      <c r="K160" s="172">
        <f t="shared" si="77"/>
        <v>0.012058899314844999</v>
      </c>
      <c r="L160" s="177">
        <f t="shared" si="62"/>
        <v>1.5103256028110186</v>
      </c>
      <c r="M160" s="178">
        <f t="shared" si="63"/>
        <v>0.021212429681874177</v>
      </c>
      <c r="N160" s="403">
        <f t="shared" si="73"/>
        <v>0</v>
      </c>
      <c r="O160" s="177">
        <f t="shared" si="78"/>
        <v>0.001120139669802673</v>
      </c>
      <c r="P160" s="174">
        <f t="shared" si="83"/>
        <v>0.00015103256028110187</v>
      </c>
      <c r="Q160" s="179">
        <f t="shared" si="64"/>
        <v>0.0007131260386362494</v>
      </c>
      <c r="R160" s="179">
        <f t="shared" si="65"/>
        <v>0.010849168848399223</v>
      </c>
      <c r="S160" s="180">
        <f t="shared" si="66"/>
        <v>0.06573093742028634</v>
      </c>
      <c r="T160" s="179">
        <f t="shared" si="67"/>
        <v>0.9891508311516009</v>
      </c>
      <c r="U160" s="181">
        <f t="shared" si="68"/>
        <v>0.07131260386362494</v>
      </c>
    </row>
    <row r="161" spans="1:21" ht="12.75">
      <c r="A161" s="91">
        <f t="shared" si="79"/>
        <v>1995.7999999999856</v>
      </c>
      <c r="B161" s="171">
        <f t="shared" si="74"/>
        <v>52.478318090941954</v>
      </c>
      <c r="C161" s="171">
        <f t="shared" si="75"/>
        <v>0.5368469131274524</v>
      </c>
      <c r="D161" s="172">
        <f t="shared" si="76"/>
        <v>0.03874029262752468</v>
      </c>
      <c r="E161" s="171">
        <f t="shared" si="61"/>
        <v>53.05390529669693</v>
      </c>
      <c r="F161" s="171"/>
      <c r="G161" s="171">
        <f t="shared" si="70"/>
        <v>0.15850119476914692</v>
      </c>
      <c r="H161" s="171">
        <f t="shared" si="71"/>
        <v>0.1584484179852218</v>
      </c>
      <c r="I161" s="91">
        <f t="shared" si="82"/>
        <v>0.12033578040947612</v>
      </c>
      <c r="J161" s="91">
        <f t="shared" si="58"/>
        <v>29.745695056150083</v>
      </c>
      <c r="K161" s="172">
        <f t="shared" si="77"/>
        <v>0.012060970576587443</v>
      </c>
      <c r="L161" s="177">
        <f t="shared" si="62"/>
        <v>1.5472115905516406</v>
      </c>
      <c r="M161" s="178">
        <f t="shared" si="63"/>
        <v>0.02172049210025096</v>
      </c>
      <c r="N161" s="403">
        <f t="shared" si="73"/>
        <v>0</v>
      </c>
      <c r="O161" s="177">
        <f t="shared" si="78"/>
        <v>0.001142910742527767</v>
      </c>
      <c r="P161" s="174">
        <f t="shared" si="83"/>
        <v>0.00015472115905516406</v>
      </c>
      <c r="Q161" s="179">
        <f t="shared" si="64"/>
        <v>0.0007302062385582122</v>
      </c>
      <c r="R161" s="179">
        <f t="shared" si="65"/>
        <v>0.010849101541839039</v>
      </c>
      <c r="S161" s="180">
        <f t="shared" si="66"/>
        <v>0.0673056875486147</v>
      </c>
      <c r="T161" s="179">
        <f t="shared" si="67"/>
        <v>0.989150898458161</v>
      </c>
      <c r="U161" s="181">
        <f t="shared" si="68"/>
        <v>0.07302062385582123</v>
      </c>
    </row>
    <row r="162" spans="1:21" ht="12.75">
      <c r="A162" s="91">
        <f t="shared" si="79"/>
        <v>1995.8999999999855</v>
      </c>
      <c r="B162" s="171">
        <f t="shared" si="74"/>
        <v>52.377281015299964</v>
      </c>
      <c r="C162" s="171">
        <f t="shared" si="75"/>
        <v>0.5348827626066296</v>
      </c>
      <c r="D162" s="172">
        <f t="shared" si="76"/>
        <v>0.039589527330238336</v>
      </c>
      <c r="E162" s="171">
        <f t="shared" si="61"/>
        <v>52.95175330523683</v>
      </c>
      <c r="F162" s="171"/>
      <c r="G162" s="171">
        <f t="shared" si="70"/>
        <v>0.15819601058706032</v>
      </c>
      <c r="H162" s="171">
        <f t="shared" si="71"/>
        <v>0.1581420768713371</v>
      </c>
      <c r="I162" s="91">
        <f t="shared" si="82"/>
        <v>0.11999761721751152</v>
      </c>
      <c r="J162" s="91">
        <f t="shared" si="58"/>
        <v>29.745695056150083</v>
      </c>
      <c r="K162" s="172">
        <f t="shared" si="77"/>
        <v>0.012068993126578938</v>
      </c>
      <c r="L162" s="177">
        <f t="shared" si="62"/>
        <v>1.58498343140228</v>
      </c>
      <c r="M162" s="178">
        <f t="shared" si="63"/>
        <v>0.02223945259364858</v>
      </c>
      <c r="N162" s="403">
        <f t="shared" si="73"/>
        <v>0</v>
      </c>
      <c r="O162" s="177">
        <f t="shared" si="78"/>
        <v>0.0011660579135628942</v>
      </c>
      <c r="P162" s="174">
        <f t="shared" si="83"/>
        <v>0.00015849834314022798</v>
      </c>
      <c r="Q162" s="179">
        <f t="shared" si="64"/>
        <v>0.0007476528133455216</v>
      </c>
      <c r="R162" s="179">
        <f t="shared" si="65"/>
        <v>0.01084897579548237</v>
      </c>
      <c r="S162" s="180">
        <f t="shared" si="66"/>
        <v>0.06891459870864973</v>
      </c>
      <c r="T162" s="179">
        <f t="shared" si="67"/>
        <v>0.9891510242045177</v>
      </c>
      <c r="U162" s="181">
        <f t="shared" si="68"/>
        <v>0.07476528133455215</v>
      </c>
    </row>
    <row r="163" spans="1:23" ht="12.75">
      <c r="A163" s="91">
        <f t="shared" si="79"/>
        <v>1995.9999999999854</v>
      </c>
      <c r="B163" s="171">
        <f t="shared" si="74"/>
        <v>52.27633242970294</v>
      </c>
      <c r="C163" s="171">
        <f t="shared" si="75"/>
        <v>0.5329010720572713</v>
      </c>
      <c r="D163" s="172">
        <f t="shared" si="76"/>
        <v>0.04045492344383705</v>
      </c>
      <c r="E163" s="171">
        <f t="shared" si="61"/>
        <v>52.84968842520405</v>
      </c>
      <c r="F163" s="171"/>
      <c r="G163" s="171">
        <f t="shared" si="70"/>
        <v>0.1578910866547184</v>
      </c>
      <c r="H163" s="171">
        <f t="shared" si="71"/>
        <v>0.15783597399013857</v>
      </c>
      <c r="I163" s="91">
        <f t="shared" si="82"/>
        <v>0.1196610684946199</v>
      </c>
      <c r="J163" s="91">
        <f aca="true" t="shared" si="84" ref="J163:J226">force_of_infection</f>
        <v>29.745695056150083</v>
      </c>
      <c r="K163" s="172">
        <f t="shared" si="77"/>
        <v>0.012083995485645616</v>
      </c>
      <c r="L163" s="177">
        <f t="shared" si="62"/>
        <v>1.6236257410581174</v>
      </c>
      <c r="M163" s="178">
        <f t="shared" si="63"/>
        <v>0.022769477969266334</v>
      </c>
      <c r="N163" s="403">
        <f t="shared" si="73"/>
        <v>0</v>
      </c>
      <c r="O163" s="177">
        <f t="shared" si="78"/>
        <v>0.0011895499842149927</v>
      </c>
      <c r="P163" s="174">
        <f t="shared" si="83"/>
        <v>0.00016236257410581173</v>
      </c>
      <c r="Q163" s="179">
        <f t="shared" si="64"/>
        <v>0.0007654713707743274</v>
      </c>
      <c r="R163" s="179">
        <f t="shared" si="65"/>
        <v>0.010848805595373663</v>
      </c>
      <c r="S163" s="180">
        <f t="shared" si="66"/>
        <v>0.07055812402987045</v>
      </c>
      <c r="T163" s="179">
        <f t="shared" si="67"/>
        <v>0.9891511944046263</v>
      </c>
      <c r="U163" s="181">
        <f t="shared" si="68"/>
        <v>0.07654713707743274</v>
      </c>
      <c r="V163">
        <f>IF(ISNUMBER('Set-up'!$N$23)=FALSE,"",('Set-up'!$N$23-'EPP model'!U163)^2)</f>
      </c>
      <c r="W163" t="e">
        <f>IF(ISNUMBER('Set-up'!$N$23)=FALSE,NA()=FALSE,('Set-up'!$N$23))</f>
        <v>#N/A</v>
      </c>
    </row>
    <row r="164" spans="1:21" ht="12.75">
      <c r="A164" s="91">
        <f t="shared" si="79"/>
        <v>1996.0999999999854</v>
      </c>
      <c r="B164" s="171">
        <f t="shared" si="74"/>
        <v>52.17547292609824</v>
      </c>
      <c r="C164" s="171">
        <f t="shared" si="75"/>
        <v>0.5309022147239453</v>
      </c>
      <c r="D164" s="172">
        <f t="shared" si="76"/>
        <v>0.04133667216394619</v>
      </c>
      <c r="E164" s="171">
        <f t="shared" si="61"/>
        <v>52.747711812986125</v>
      </c>
      <c r="F164" s="171"/>
      <c r="G164" s="171">
        <f t="shared" si="70"/>
        <v>0.15758642642688672</v>
      </c>
      <c r="H164" s="171">
        <f t="shared" si="71"/>
        <v>0.15753011253592167</v>
      </c>
      <c r="I164" s="91">
        <f t="shared" si="82"/>
        <v>0.11932612770885502</v>
      </c>
      <c r="J164" s="91">
        <f t="shared" si="84"/>
        <v>29.745695056150083</v>
      </c>
      <c r="K164" s="172">
        <f t="shared" si="77"/>
        <v>0.012104330810093818</v>
      </c>
      <c r="L164" s="177">
        <f t="shared" si="62"/>
        <v>1.6631573908332586</v>
      </c>
      <c r="M164" s="178">
        <f t="shared" si="63"/>
        <v>0.02331073714029951</v>
      </c>
      <c r="N164" s="403">
        <f t="shared" si="73"/>
        <v>0</v>
      </c>
      <c r="O164" s="177">
        <f t="shared" si="78"/>
        <v>0.0012133879220006451</v>
      </c>
      <c r="P164" s="174">
        <f t="shared" si="83"/>
        <v>0.00016631573908332587</v>
      </c>
      <c r="Q164" s="179">
        <f t="shared" si="64"/>
        <v>0.0007836675894208056</v>
      </c>
      <c r="R164" s="179">
        <f t="shared" si="65"/>
        <v>0.010848601147225693</v>
      </c>
      <c r="S164" s="180">
        <f t="shared" si="66"/>
        <v>0.07223674082821384</v>
      </c>
      <c r="T164" s="179">
        <f t="shared" si="67"/>
        <v>0.9891513988527744</v>
      </c>
      <c r="U164" s="181">
        <f t="shared" si="68"/>
        <v>0.07836675894208056</v>
      </c>
    </row>
    <row r="165" spans="1:21" ht="12.75">
      <c r="A165" s="91">
        <f t="shared" si="79"/>
        <v>1996.1999999999853</v>
      </c>
      <c r="B165" s="171">
        <f t="shared" si="74"/>
        <v>52.074703235148526</v>
      </c>
      <c r="C165" s="171">
        <f t="shared" si="75"/>
        <v>0.5288864141218571</v>
      </c>
      <c r="D165" s="172">
        <f t="shared" si="76"/>
        <v>0.042234962469578134</v>
      </c>
      <c r="E165" s="171">
        <f t="shared" si="61"/>
        <v>52.64582461173996</v>
      </c>
      <c r="F165" s="171"/>
      <c r="G165" s="171">
        <f t="shared" si="70"/>
        <v>0.15728203331880375</v>
      </c>
      <c r="H165" s="171">
        <f t="shared" si="71"/>
        <v>0.15722449566647428</v>
      </c>
      <c r="I165" s="91">
        <f t="shared" si="82"/>
        <v>0.11899278835537634</v>
      </c>
      <c r="J165" s="91">
        <f t="shared" si="84"/>
        <v>29.745695056150083</v>
      </c>
      <c r="K165" s="172">
        <f t="shared" si="77"/>
        <v>0.01212880274550344</v>
      </c>
      <c r="L165" s="177">
        <f t="shared" si="62"/>
        <v>1.7035974009435157</v>
      </c>
      <c r="M165" s="178">
        <f t="shared" si="63"/>
        <v>0.023863398922767738</v>
      </c>
      <c r="N165" s="403">
        <f t="shared" si="73"/>
        <v>0</v>
      </c>
      <c r="O165" s="177">
        <f t="shared" si="78"/>
        <v>0.0012375721974632737</v>
      </c>
      <c r="P165" s="174">
        <f t="shared" si="83"/>
        <v>0.00017035974009435158</v>
      </c>
      <c r="Q165" s="179">
        <f t="shared" si="64"/>
        <v>0.0008022471445942511</v>
      </c>
      <c r="R165" s="179">
        <f t="shared" si="65"/>
        <v>0.010848369852755156</v>
      </c>
      <c r="S165" s="180">
        <f t="shared" si="66"/>
        <v>0.07395093967878545</v>
      </c>
      <c r="T165" s="179">
        <f t="shared" si="67"/>
        <v>0.9891516301472448</v>
      </c>
      <c r="U165" s="181">
        <f t="shared" si="68"/>
        <v>0.08022471445942511</v>
      </c>
    </row>
    <row r="166" spans="1:21" ht="12.75">
      <c r="A166" s="91">
        <f t="shared" si="79"/>
        <v>1996.2999999999852</v>
      </c>
      <c r="B166" s="171">
        <f t="shared" si="74"/>
        <v>51.97402417744836</v>
      </c>
      <c r="C166" s="171">
        <f t="shared" si="75"/>
        <v>0.526853786153517</v>
      </c>
      <c r="D166" s="172">
        <f t="shared" si="76"/>
        <v>0.043149980584873016</v>
      </c>
      <c r="E166" s="171">
        <f t="shared" si="61"/>
        <v>52.544027944186745</v>
      </c>
      <c r="F166" s="171"/>
      <c r="G166" s="171">
        <f t="shared" si="70"/>
        <v>0.15697791068465514</v>
      </c>
      <c r="H166" s="171">
        <f t="shared" si="71"/>
        <v>0.1569191264822848</v>
      </c>
      <c r="I166" s="91">
        <f t="shared" si="82"/>
        <v>0.11866103668388209</v>
      </c>
      <c r="J166" s="91">
        <f t="shared" si="84"/>
        <v>29.745695056150083</v>
      </c>
      <c r="K166" s="172">
        <f t="shared" si="77"/>
        <v>0.012156547038071829</v>
      </c>
      <c r="L166" s="177">
        <f t="shared" si="62"/>
        <v>1.7449647833761601</v>
      </c>
      <c r="M166" s="178">
        <f t="shared" si="63"/>
        <v>0.02442763172857275</v>
      </c>
      <c r="N166" s="403">
        <f t="shared" si="73"/>
        <v>0</v>
      </c>
      <c r="O166" s="177">
        <f t="shared" si="78"/>
        <v>0.0012621027485022018</v>
      </c>
      <c r="P166" s="174">
        <f t="shared" si="83"/>
        <v>0.00017449647833761602</v>
      </c>
      <c r="Q166" s="179">
        <f t="shared" si="64"/>
        <v>0.000821215698018198</v>
      </c>
      <c r="R166" s="179">
        <f t="shared" si="65"/>
        <v>0.010848117075148076</v>
      </c>
      <c r="S166" s="180">
        <f t="shared" si="66"/>
        <v>0.07570122006698461</v>
      </c>
      <c r="T166" s="179">
        <f t="shared" si="67"/>
        <v>0.989151882924852</v>
      </c>
      <c r="U166" s="181">
        <f t="shared" si="68"/>
        <v>0.0821215698018198</v>
      </c>
    </row>
    <row r="167" spans="1:21" ht="12.75">
      <c r="A167" s="91">
        <f t="shared" si="79"/>
        <v>1996.399999999985</v>
      </c>
      <c r="B167" s="171">
        <f t="shared" si="74"/>
        <v>51.87343665507598</v>
      </c>
      <c r="C167" s="171">
        <f t="shared" si="75"/>
        <v>0.5248043699541984</v>
      </c>
      <c r="D167" s="172">
        <f t="shared" si="76"/>
        <v>0.044081909504728345</v>
      </c>
      <c r="E167" s="171">
        <f t="shared" si="61"/>
        <v>52.4423229345349</v>
      </c>
      <c r="F167" s="171"/>
      <c r="G167" s="171">
        <f t="shared" si="70"/>
        <v>0.15667406188306976</v>
      </c>
      <c r="H167" s="171">
        <f t="shared" si="71"/>
        <v>0.15661400809268394</v>
      </c>
      <c r="I167" s="91">
        <f t="shared" si="82"/>
        <v>0.11833088078061625</v>
      </c>
      <c r="J167" s="91">
        <f t="shared" si="84"/>
        <v>29.745695056150083</v>
      </c>
      <c r="K167" s="172">
        <f t="shared" si="77"/>
        <v>0.01218693997104293</v>
      </c>
      <c r="L167" s="177">
        <f t="shared" si="62"/>
        <v>1.7872788654369367</v>
      </c>
      <c r="M167" s="178">
        <f t="shared" si="63"/>
        <v>0.025003603277782272</v>
      </c>
      <c r="N167" s="403">
        <f t="shared" si="73"/>
        <v>0</v>
      </c>
      <c r="O167" s="177">
        <f t="shared" si="78"/>
        <v>0.0012869790262962334</v>
      </c>
      <c r="P167" s="174">
        <f>O156*$Y$6+O145*$Y$7+O134*$Y$8+O123*$Y$9+O112*$Y$10+O101*$Y$11+O90*$Y$12+O79*$Y$13+O68*$Y$14+O57*$Y$15+O46*$Y$16+O35*$Y$17+O24*$Y$18+O13*$Y$19</f>
        <v>0.00017872788654369368</v>
      </c>
      <c r="Q167" s="179">
        <f t="shared" si="64"/>
        <v>0.0008405788881578897</v>
      </c>
      <c r="R167" s="179">
        <f t="shared" si="65"/>
        <v>0.010847846693768355</v>
      </c>
      <c r="S167" s="180">
        <f t="shared" si="66"/>
        <v>0.07748808698050351</v>
      </c>
      <c r="T167" s="179">
        <f t="shared" si="67"/>
        <v>0.9891521533062317</v>
      </c>
      <c r="U167" s="181">
        <f t="shared" si="68"/>
        <v>0.08405788881578898</v>
      </c>
    </row>
    <row r="168" spans="1:21" ht="12.75">
      <c r="A168" s="91">
        <f t="shared" si="79"/>
        <v>1996.499999999985</v>
      </c>
      <c r="B168" s="171">
        <f t="shared" si="74"/>
        <v>51.77294160827499</v>
      </c>
      <c r="C168" s="171">
        <f t="shared" si="75"/>
        <v>0.5227381498759995</v>
      </c>
      <c r="D168" s="172">
        <f t="shared" si="76"/>
        <v>0.04503092852123334</v>
      </c>
      <c r="E168" s="171">
        <f t="shared" si="61"/>
        <v>52.340710686672224</v>
      </c>
      <c r="F168" s="171"/>
      <c r="G168" s="171">
        <f t="shared" si="70"/>
        <v>0.15637049021196764</v>
      </c>
      <c r="H168" s="171">
        <f t="shared" si="71"/>
        <v>0.15630914355133796</v>
      </c>
      <c r="I168" s="91">
        <f t="shared" si="82"/>
        <v>0.11800230696172778</v>
      </c>
      <c r="J168" s="91">
        <f t="shared" si="84"/>
        <v>29.745695056150083</v>
      </c>
      <c r="K168" s="172">
        <f t="shared" si="77"/>
        <v>0.012219532581339334</v>
      </c>
      <c r="L168" s="177">
        <f t="shared" si="62"/>
        <v>1.8305591555120808</v>
      </c>
      <c r="M168" s="178">
        <f t="shared" si="63"/>
        <v>0.025591480327930967</v>
      </c>
      <c r="N168" s="403">
        <f t="shared" si="73"/>
        <v>0</v>
      </c>
      <c r="O168" s="177">
        <f t="shared" si="78"/>
        <v>0.0013122000264781256</v>
      </c>
      <c r="P168" s="174">
        <f aca="true" t="shared" si="85" ref="P168:P200">O157*$Y$6+O146*$Y$7+O135*$Y$8+O124*$Y$9+O113*$Y$10+O102*$Y$11+O91*$Y$12+O80*$Y$13+O69*$Y$14+O58*$Y$15+O47*$Y$16+O36*$Y$17+O25*$Y$18+O14*$Y$19+O3*$N$20</f>
        <v>0.0001830559155512081</v>
      </c>
      <c r="Q168" s="179">
        <f t="shared" si="64"/>
        <v>0.0008603423211198351</v>
      </c>
      <c r="R168" s="179">
        <f t="shared" si="65"/>
        <v>0.010847561505155617</v>
      </c>
      <c r="S168" s="180">
        <f t="shared" si="66"/>
        <v>0.07931204821571489</v>
      </c>
      <c r="T168" s="179">
        <f t="shared" si="67"/>
        <v>0.9891524384948444</v>
      </c>
      <c r="U168" s="181">
        <f t="shared" si="68"/>
        <v>0.08603423211198351</v>
      </c>
    </row>
    <row r="169" spans="1:21" ht="12.75">
      <c r="A169" s="91">
        <f t="shared" si="79"/>
        <v>1996.599999999985</v>
      </c>
      <c r="B169" s="171">
        <f t="shared" si="74"/>
        <v>51.67254000687936</v>
      </c>
      <c r="C169" s="171">
        <f t="shared" si="75"/>
        <v>0.5206550718555772</v>
      </c>
      <c r="D169" s="172">
        <f t="shared" si="76"/>
        <v>0.04599721278429505</v>
      </c>
      <c r="E169" s="171">
        <f t="shared" si="61"/>
        <v>52.23919229151923</v>
      </c>
      <c r="F169" s="171"/>
      <c r="G169" s="171">
        <f t="shared" si="70"/>
        <v>0.1560671989305283</v>
      </c>
      <c r="H169" s="171">
        <f t="shared" si="71"/>
        <v>0.1560045358788158</v>
      </c>
      <c r="I169" s="91">
        <f t="shared" si="82"/>
        <v>0.11767530882983065</v>
      </c>
      <c r="J169" s="91">
        <f t="shared" si="84"/>
        <v>29.745695056150083</v>
      </c>
      <c r="K169" s="172">
        <f t="shared" si="77"/>
        <v>0.012254003390546837</v>
      </c>
      <c r="L169" s="177">
        <f t="shared" si="62"/>
        <v>1.874825360596774</v>
      </c>
      <c r="M169" s="178">
        <f t="shared" si="63"/>
        <v>0.026191428406457426</v>
      </c>
      <c r="N169" s="403">
        <f t="shared" si="73"/>
        <v>0</v>
      </c>
      <c r="O169" s="177">
        <f t="shared" si="78"/>
        <v>0.001337764307921067</v>
      </c>
      <c r="P169" s="174">
        <f t="shared" si="85"/>
        <v>0.0001874825360596774</v>
      </c>
      <c r="Q169" s="179">
        <f t="shared" si="64"/>
        <v>0.000880511561656792</v>
      </c>
      <c r="R169" s="179">
        <f t="shared" si="65"/>
        <v>0.01084726351582326</v>
      </c>
      <c r="S169" s="180">
        <f t="shared" si="66"/>
        <v>0.0811736121624003</v>
      </c>
      <c r="T169" s="179">
        <f t="shared" si="67"/>
        <v>0.9891527364841768</v>
      </c>
      <c r="U169" s="181">
        <f t="shared" si="68"/>
        <v>0.0880511561656792</v>
      </c>
    </row>
    <row r="170" spans="1:21" ht="12.75">
      <c r="A170" s="91">
        <f t="shared" si="79"/>
        <v>1996.6999999999848</v>
      </c>
      <c r="B170" s="171">
        <f t="shared" si="74"/>
        <v>51.57223283885177</v>
      </c>
      <c r="C170" s="171">
        <f t="shared" si="75"/>
        <v>0.5185550553648215</v>
      </c>
      <c r="D170" s="172">
        <f t="shared" si="76"/>
        <v>0.04698093287350789</v>
      </c>
      <c r="E170" s="171">
        <f t="shared" si="61"/>
        <v>52.1377688270901</v>
      </c>
      <c r="F170" s="171"/>
      <c r="G170" s="171">
        <f t="shared" si="70"/>
        <v>0.15576419125937305</v>
      </c>
      <c r="H170" s="171">
        <f t="shared" si="71"/>
        <v>0.1557001880633542</v>
      </c>
      <c r="I170" s="91">
        <f t="shared" si="82"/>
        <v>0.11734988001402198</v>
      </c>
      <c r="J170" s="91">
        <f t="shared" si="84"/>
        <v>29.745695056150083</v>
      </c>
      <c r="K170" s="172">
        <f t="shared" si="77"/>
        <v>0.01229012402299948</v>
      </c>
      <c r="L170" s="177">
        <f t="shared" si="62"/>
        <v>1.9200973992197308</v>
      </c>
      <c r="M170" s="178">
        <f t="shared" si="63"/>
        <v>0.02680361154968929</v>
      </c>
      <c r="N170" s="403">
        <f t="shared" si="73"/>
        <v>0</v>
      </c>
      <c r="O170" s="177">
        <f t="shared" si="78"/>
        <v>0.00136367000389643</v>
      </c>
      <c r="P170" s="174">
        <f t="shared" si="85"/>
        <v>0.00019200973992197307</v>
      </c>
      <c r="Q170" s="179">
        <f t="shared" si="64"/>
        <v>0.0009010921243928875</v>
      </c>
      <c r="R170" s="179">
        <f t="shared" si="65"/>
        <v>0.010846954155515844</v>
      </c>
      <c r="S170" s="180">
        <f t="shared" si="66"/>
        <v>0.08307328596338431</v>
      </c>
      <c r="T170" s="179">
        <f t="shared" si="67"/>
        <v>0.9891530458444842</v>
      </c>
      <c r="U170" s="181">
        <f t="shared" si="68"/>
        <v>0.09010921243928875</v>
      </c>
    </row>
    <row r="171" spans="1:21" ht="12.75">
      <c r="A171" s="91">
        <f t="shared" si="79"/>
        <v>1996.7999999999847</v>
      </c>
      <c r="B171" s="171">
        <f t="shared" si="74"/>
        <v>51.4720211019492</v>
      </c>
      <c r="C171" s="171">
        <f t="shared" si="75"/>
        <v>0.5164380022270499</v>
      </c>
      <c r="D171" s="172">
        <f t="shared" si="76"/>
        <v>0.04798225437556102</v>
      </c>
      <c r="E171" s="171">
        <f t="shared" si="61"/>
        <v>52.03644135855181</v>
      </c>
      <c r="F171" s="171"/>
      <c r="G171" s="171">
        <f t="shared" si="70"/>
        <v>0.15546147038074148</v>
      </c>
      <c r="H171" s="171">
        <f t="shared" si="71"/>
        <v>0.15539610306161025</v>
      </c>
      <c r="I171" s="91">
        <f t="shared" si="82"/>
        <v>0.11702601416975553</v>
      </c>
      <c r="J171" s="91">
        <f t="shared" si="84"/>
        <v>29.745695056150083</v>
      </c>
      <c r="K171" s="172">
        <f t="shared" si="77"/>
        <v>0.012327734224083335</v>
      </c>
      <c r="L171" s="177">
        <f t="shared" si="62"/>
        <v>1.9529441755359715</v>
      </c>
      <c r="M171" s="178">
        <f t="shared" si="63"/>
        <v>0.027428192041950624</v>
      </c>
      <c r="N171" s="403">
        <f t="shared" si="73"/>
        <v>0</v>
      </c>
      <c r="O171" s="177">
        <f t="shared" si="78"/>
        <v>0.00138991482711263</v>
      </c>
      <c r="P171" s="174">
        <f t="shared" si="85"/>
        <v>0.00019529441755359716</v>
      </c>
      <c r="Q171" s="179">
        <f t="shared" si="64"/>
        <v>0.0009220894650528497</v>
      </c>
      <c r="R171" s="179">
        <f t="shared" si="65"/>
        <v>0.01084663443284929</v>
      </c>
      <c r="S171" s="180">
        <f t="shared" si="66"/>
        <v>0.08501157393673008</v>
      </c>
      <c r="T171" s="179">
        <f t="shared" si="67"/>
        <v>0.9891533655671507</v>
      </c>
      <c r="U171" s="181">
        <f t="shared" si="68"/>
        <v>0.09220894650528497</v>
      </c>
    </row>
    <row r="172" spans="1:21" ht="12.75">
      <c r="A172" s="91">
        <f t="shared" si="79"/>
        <v>1996.8999999999846</v>
      </c>
      <c r="B172" s="171">
        <f t="shared" si="74"/>
        <v>51.3719057976618</v>
      </c>
      <c r="C172" s="171">
        <f t="shared" si="75"/>
        <v>0.5143038031572659</v>
      </c>
      <c r="D172" s="172">
        <f t="shared" si="76"/>
        <v>0.04900268258657409</v>
      </c>
      <c r="E172" s="171">
        <f t="shared" si="61"/>
        <v>51.93521228340565</v>
      </c>
      <c r="F172" s="171"/>
      <c r="G172" s="171">
        <f t="shared" si="70"/>
        <v>0.15515904345728856</v>
      </c>
      <c r="H172" s="171">
        <f t="shared" si="71"/>
        <v>0.1550922859855397</v>
      </c>
      <c r="I172" s="91">
        <f t="shared" si="82"/>
        <v>0.11670370497871607</v>
      </c>
      <c r="J172" s="91">
        <f t="shared" si="84"/>
        <v>29.745695056150083</v>
      </c>
      <c r="K172" s="172">
        <f t="shared" si="77"/>
        <v>0.012366723651498048</v>
      </c>
      <c r="L172" s="177">
        <f t="shared" si="62"/>
        <v>1.9995417260108401</v>
      </c>
      <c r="M172" s="178">
        <f t="shared" si="63"/>
        <v>0.028066099839920887</v>
      </c>
      <c r="N172" s="403">
        <f t="shared" si="73"/>
        <v>0</v>
      </c>
      <c r="O172" s="177">
        <f t="shared" si="78"/>
        <v>0.001416496070284485</v>
      </c>
      <c r="P172" s="174">
        <f t="shared" si="85"/>
        <v>0.00019995417260108402</v>
      </c>
      <c r="Q172" s="179">
        <f t="shared" si="64"/>
        <v>0.0009435348472086911</v>
      </c>
      <c r="R172" s="179">
        <f t="shared" si="65"/>
        <v>0.010846330668101029</v>
      </c>
      <c r="S172" s="180">
        <f t="shared" si="66"/>
        <v>0.08699115637176907</v>
      </c>
      <c r="T172" s="179">
        <f t="shared" si="67"/>
        <v>0.9891536693318989</v>
      </c>
      <c r="U172" s="181">
        <f t="shared" si="68"/>
        <v>0.09435348472086912</v>
      </c>
    </row>
    <row r="173" spans="1:23" ht="12.75">
      <c r="A173" s="91">
        <f t="shared" si="79"/>
        <v>1996.9999999999845</v>
      </c>
      <c r="B173" s="171">
        <f t="shared" si="74"/>
        <v>51.2718882921024</v>
      </c>
      <c r="C173" s="171">
        <f t="shared" si="75"/>
        <v>0.5121519377669514</v>
      </c>
      <c r="D173" s="172">
        <f t="shared" si="76"/>
        <v>0.05004113535570329</v>
      </c>
      <c r="E173" s="171">
        <f t="shared" si="61"/>
        <v>51.83408136522506</v>
      </c>
      <c r="F173" s="171"/>
      <c r="G173" s="171">
        <f t="shared" si="70"/>
        <v>0.15485690978267816</v>
      </c>
      <c r="H173" s="171">
        <f t="shared" si="71"/>
        <v>0.15478873760304518</v>
      </c>
      <c r="I173" s="91">
        <f t="shared" si="82"/>
        <v>0.11638294614869324</v>
      </c>
      <c r="J173" s="91">
        <f t="shared" si="84"/>
        <v>29.745695056150083</v>
      </c>
      <c r="K173" s="172">
        <f t="shared" si="77"/>
        <v>0.012403879842573101</v>
      </c>
      <c r="L173" s="177">
        <f t="shared" si="62"/>
        <v>2.0472195000204825</v>
      </c>
      <c r="M173" s="178">
        <f t="shared" si="63"/>
        <v>0.02871678851731141</v>
      </c>
      <c r="N173" s="403">
        <f t="shared" si="73"/>
        <v>0</v>
      </c>
      <c r="O173" s="177">
        <f t="shared" si="78"/>
        <v>0.0014434501887462844</v>
      </c>
      <c r="P173" s="174">
        <f t="shared" si="85"/>
        <v>0.00020472195000204824</v>
      </c>
      <c r="Q173" s="179">
        <f t="shared" si="64"/>
        <v>0.0009654099009320026</v>
      </c>
      <c r="R173" s="179">
        <f t="shared" si="65"/>
        <v>0.010846012089254932</v>
      </c>
      <c r="S173" s="180">
        <f t="shared" si="66"/>
        <v>0.08901058683941791</v>
      </c>
      <c r="T173" s="179">
        <f t="shared" si="67"/>
        <v>0.989153987910745</v>
      </c>
      <c r="U173" s="181">
        <f t="shared" si="68"/>
        <v>0.09654099009320026</v>
      </c>
      <c r="V173">
        <f>IF(ISNUMBER('Set-up'!$N$24)=FALSE,"",('Set-up'!$N$24-'EPP model'!U173)^2)</f>
      </c>
      <c r="W173" t="e">
        <f>IF(ISNUMBER('Set-up'!$N$24)=FALSE,NA()=FALSE,('Set-up'!$N$24))</f>
        <v>#N/A</v>
      </c>
    </row>
    <row r="174" spans="1:21" ht="12.75">
      <c r="A174" s="91">
        <f t="shared" si="79"/>
        <v>1997.0999999999844</v>
      </c>
      <c r="B174" s="171">
        <f t="shared" si="74"/>
        <v>51.171969500711896</v>
      </c>
      <c r="C174" s="171">
        <f t="shared" si="75"/>
        <v>0.5099823678284642</v>
      </c>
      <c r="D174" s="172">
        <f t="shared" si="76"/>
        <v>0.05109776082130065</v>
      </c>
      <c r="E174" s="171">
        <f t="shared" si="61"/>
        <v>51.73304962936166</v>
      </c>
      <c r="F174" s="171"/>
      <c r="G174" s="171">
        <f t="shared" si="70"/>
        <v>0.15455507242019945</v>
      </c>
      <c r="H174" s="171">
        <f t="shared" si="71"/>
        <v>0.15448546077560366</v>
      </c>
      <c r="I174" s="91">
        <f t="shared" si="82"/>
        <v>0.11606373141345613</v>
      </c>
      <c r="J174" s="91">
        <f t="shared" si="84"/>
        <v>29.745695056150083</v>
      </c>
      <c r="K174" s="172">
        <f t="shared" si="77"/>
        <v>0.012442966509754126</v>
      </c>
      <c r="L174" s="177">
        <f t="shared" si="62"/>
        <v>2.0959510009564153</v>
      </c>
      <c r="M174" s="178">
        <f t="shared" si="63"/>
        <v>0.029380413919767156</v>
      </c>
      <c r="N174" s="403">
        <f t="shared" si="73"/>
        <v>0</v>
      </c>
      <c r="O174" s="177">
        <f t="shared" si="78"/>
        <v>0.001470735888558478</v>
      </c>
      <c r="P174" s="174">
        <f t="shared" si="85"/>
        <v>0.00020959510009564152</v>
      </c>
      <c r="Q174" s="179">
        <f t="shared" si="64"/>
        <v>0.0009877198654900012</v>
      </c>
      <c r="R174" s="179">
        <f t="shared" si="65"/>
        <v>0.010845680520858327</v>
      </c>
      <c r="S174" s="180">
        <f t="shared" si="66"/>
        <v>0.09107034487973587</v>
      </c>
      <c r="T174" s="179">
        <f t="shared" si="67"/>
        <v>0.9891543194791417</v>
      </c>
      <c r="U174" s="181">
        <f t="shared" si="68"/>
        <v>0.09877198654900013</v>
      </c>
    </row>
    <row r="175" spans="1:21" ht="12.75">
      <c r="A175" s="91">
        <f t="shared" si="79"/>
        <v>1997.1999999999844</v>
      </c>
      <c r="B175" s="171">
        <f t="shared" si="74"/>
        <v>51.07215035463736</v>
      </c>
      <c r="C175" s="171">
        <f t="shared" si="75"/>
        <v>0.507795033360903</v>
      </c>
      <c r="D175" s="172">
        <f t="shared" si="76"/>
        <v>0.05217270528765701</v>
      </c>
      <c r="E175" s="171">
        <f t="shared" si="61"/>
        <v>51.63211809328592</v>
      </c>
      <c r="F175" s="171"/>
      <c r="G175" s="171">
        <f t="shared" si="70"/>
        <v>0.15425353440959635</v>
      </c>
      <c r="H175" s="171">
        <f t="shared" si="71"/>
        <v>0.1541824583436453</v>
      </c>
      <c r="I175" s="91">
        <f t="shared" si="82"/>
        <v>0.1157460545326274</v>
      </c>
      <c r="J175" s="91">
        <f t="shared" si="84"/>
        <v>29.745695056150083</v>
      </c>
      <c r="K175" s="172">
        <f t="shared" si="77"/>
        <v>0.01248377603019679</v>
      </c>
      <c r="L175" s="177">
        <f t="shared" si="62"/>
        <v>2.145757541310962</v>
      </c>
      <c r="M175" s="178">
        <f t="shared" si="63"/>
        <v>0.030057131860000925</v>
      </c>
      <c r="N175" s="403">
        <f t="shared" si="73"/>
        <v>0</v>
      </c>
      <c r="O175" s="177">
        <f t="shared" si="78"/>
        <v>0.0014983493058583223</v>
      </c>
      <c r="P175" s="174">
        <f t="shared" si="85"/>
        <v>0.00021457575413109622</v>
      </c>
      <c r="Q175" s="179">
        <f t="shared" si="64"/>
        <v>0.0010104699790427808</v>
      </c>
      <c r="R175" s="179">
        <f t="shared" si="65"/>
        <v>0.010845337346743027</v>
      </c>
      <c r="S175" s="180">
        <f t="shared" si="66"/>
        <v>0.09317091269145594</v>
      </c>
      <c r="T175" s="179">
        <f t="shared" si="67"/>
        <v>0.989154662653257</v>
      </c>
      <c r="U175" s="181">
        <f t="shared" si="68"/>
        <v>0.10104699790427808</v>
      </c>
    </row>
    <row r="176" spans="1:21" ht="12.75">
      <c r="A176" s="91">
        <f t="shared" si="79"/>
        <v>1997.2999999999843</v>
      </c>
      <c r="B176" s="171">
        <f t="shared" si="74"/>
        <v>50.97243179436671</v>
      </c>
      <c r="C176" s="171">
        <f t="shared" si="75"/>
        <v>0.5055898593957044</v>
      </c>
      <c r="D176" s="172">
        <f t="shared" si="76"/>
        <v>0.05326610810254136</v>
      </c>
      <c r="E176" s="171">
        <f t="shared" si="61"/>
        <v>51.53128776186496</v>
      </c>
      <c r="F176" s="171"/>
      <c r="G176" s="171">
        <f t="shared" si="70"/>
        <v>0.15395229875295968</v>
      </c>
      <c r="H176" s="171">
        <f t="shared" si="71"/>
        <v>0.15387973311942432</v>
      </c>
      <c r="I176" s="91">
        <f t="shared" si="82"/>
        <v>0.11542990929155769</v>
      </c>
      <c r="J176" s="91">
        <f t="shared" si="84"/>
        <v>29.745695056150083</v>
      </c>
      <c r="K176" s="172">
        <f t="shared" si="77"/>
        <v>0.012526153156195792</v>
      </c>
      <c r="L176" s="177">
        <f t="shared" si="62"/>
        <v>2.1966604645481547</v>
      </c>
      <c r="M176" s="178">
        <f t="shared" si="63"/>
        <v>0.030747095158344985</v>
      </c>
      <c r="N176" s="403">
        <f t="shared" si="73"/>
        <v>0</v>
      </c>
      <c r="O176" s="177">
        <f t="shared" si="78"/>
        <v>0.001526286227558223</v>
      </c>
      <c r="P176" s="174">
        <f t="shared" si="85"/>
        <v>0.00021966604645481548</v>
      </c>
      <c r="Q176" s="179">
        <f t="shared" si="64"/>
        <v>0.0010336653791516584</v>
      </c>
      <c r="R176" s="179">
        <f t="shared" si="65"/>
        <v>0.010844983538560426</v>
      </c>
      <c r="S176" s="180">
        <f t="shared" si="66"/>
        <v>0.09531276607994447</v>
      </c>
      <c r="T176" s="179">
        <f t="shared" si="67"/>
        <v>0.9891550164614396</v>
      </c>
      <c r="U176" s="181">
        <f t="shared" si="68"/>
        <v>0.10336653791516584</v>
      </c>
    </row>
    <row r="177" spans="1:21" ht="12.75">
      <c r="A177" s="91">
        <f t="shared" si="79"/>
        <v>1997.3999999999842</v>
      </c>
      <c r="B177" s="171">
        <f t="shared" si="74"/>
        <v>50.87281474944519</v>
      </c>
      <c r="C177" s="171">
        <f t="shared" si="75"/>
        <v>0.5033667622533491</v>
      </c>
      <c r="D177" s="172">
        <f t="shared" si="76"/>
        <v>0.0543781011944349</v>
      </c>
      <c r="E177" s="171">
        <f t="shared" si="61"/>
        <v>51.43055961289298</v>
      </c>
      <c r="F177" s="171"/>
      <c r="G177" s="171">
        <f t="shared" si="70"/>
        <v>0.15365136837149843</v>
      </c>
      <c r="H177" s="171">
        <f t="shared" si="71"/>
        <v>0.15357728784442054</v>
      </c>
      <c r="I177" s="91">
        <f t="shared" si="82"/>
        <v>0.115115274956321</v>
      </c>
      <c r="J177" s="91">
        <f t="shared" si="84"/>
        <v>29.745695056150083</v>
      </c>
      <c r="K177" s="172">
        <f t="shared" si="77"/>
        <v>0.012569992134347532</v>
      </c>
      <c r="L177" s="177">
        <f t="shared" si="62"/>
        <v>2.2486808322305256</v>
      </c>
      <c r="M177" s="178">
        <f t="shared" si="63"/>
        <v>0.03145045334985313</v>
      </c>
      <c r="N177" s="403">
        <f t="shared" si="73"/>
        <v>0</v>
      </c>
      <c r="O177" s="177">
        <f t="shared" si="78"/>
        <v>0.0015545419517933986</v>
      </c>
      <c r="P177" s="174">
        <f t="shared" si="85"/>
        <v>0.00022486808322305256</v>
      </c>
      <c r="Q177" s="179">
        <f t="shared" si="64"/>
        <v>0.0010573110929324402</v>
      </c>
      <c r="R177" s="179">
        <f t="shared" si="65"/>
        <v>0.01084461976781533</v>
      </c>
      <c r="S177" s="180">
        <f t="shared" si="66"/>
        <v>0.09749637290837332</v>
      </c>
      <c r="T177" s="179">
        <f t="shared" si="67"/>
        <v>0.9891553802321846</v>
      </c>
      <c r="U177" s="181">
        <f t="shared" si="68"/>
        <v>0.10573110929324402</v>
      </c>
    </row>
    <row r="178" spans="1:21" ht="12.75">
      <c r="A178" s="91">
        <f t="shared" si="79"/>
        <v>1997.499999999984</v>
      </c>
      <c r="B178" s="171">
        <f t="shared" si="74"/>
        <v>50.77330017731007</v>
      </c>
      <c r="C178" s="171">
        <f t="shared" si="75"/>
        <v>0.5011256549247392</v>
      </c>
      <c r="D178" s="172">
        <f t="shared" si="76"/>
        <v>0.05550880864247836</v>
      </c>
      <c r="E178" s="171">
        <f t="shared" si="61"/>
        <v>51.32993464087729</v>
      </c>
      <c r="F178" s="171"/>
      <c r="G178" s="171">
        <f t="shared" si="70"/>
        <v>0.15335074623635297</v>
      </c>
      <c r="H178" s="171">
        <f t="shared" si="71"/>
        <v>0.1532751253207385</v>
      </c>
      <c r="I178" s="91">
        <f t="shared" si="82"/>
        <v>0.1148021744376345</v>
      </c>
      <c r="J178" s="91">
        <f t="shared" si="84"/>
        <v>29.745695056150083</v>
      </c>
      <c r="K178" s="172">
        <f t="shared" si="77"/>
        <v>0.012615223464557953</v>
      </c>
      <c r="L178" s="177">
        <f t="shared" si="62"/>
        <v>2.301840057244523</v>
      </c>
      <c r="M178" s="178">
        <f t="shared" si="63"/>
        <v>0.03216735237169843</v>
      </c>
      <c r="N178" s="403">
        <f t="shared" si="73"/>
        <v>0</v>
      </c>
      <c r="O178" s="177">
        <f t="shared" si="78"/>
        <v>0.0015831112874115567</v>
      </c>
      <c r="P178" s="174">
        <f t="shared" si="85"/>
        <v>0.00023018400572445227</v>
      </c>
      <c r="Q178" s="179">
        <f t="shared" si="64"/>
        <v>0.0010814120265462636</v>
      </c>
      <c r="R178" s="179">
        <f t="shared" si="65"/>
        <v>0.010844246490116005</v>
      </c>
      <c r="S178" s="180">
        <f t="shared" si="66"/>
        <v>0.09972219162778319</v>
      </c>
      <c r="T178" s="179">
        <f t="shared" si="67"/>
        <v>0.9891557535098839</v>
      </c>
      <c r="U178" s="181">
        <f t="shared" si="68"/>
        <v>0.10814120265462636</v>
      </c>
    </row>
    <row r="179" spans="1:21" ht="12.75">
      <c r="A179" s="91">
        <f t="shared" si="79"/>
        <v>1997.599999999984</v>
      </c>
      <c r="B179" s="171">
        <f t="shared" si="74"/>
        <v>50.67388901704767</v>
      </c>
      <c r="C179" s="171">
        <f t="shared" si="75"/>
        <v>0.4988664501366985</v>
      </c>
      <c r="D179" s="172">
        <f t="shared" si="76"/>
        <v>0.056658346183369686</v>
      </c>
      <c r="E179" s="171">
        <f t="shared" si="61"/>
        <v>51.229413813367735</v>
      </c>
      <c r="F179" s="171"/>
      <c r="G179" s="171">
        <f t="shared" si="70"/>
        <v>0.15305043523812678</v>
      </c>
      <c r="H179" s="171">
        <f t="shared" si="71"/>
        <v>0.1529732482813109</v>
      </c>
      <c r="I179" s="91">
        <f t="shared" si="82"/>
        <v>0.11449058708064772</v>
      </c>
      <c r="J179" s="91">
        <f t="shared" si="84"/>
        <v>29.745695056150083</v>
      </c>
      <c r="K179" s="172">
        <f t="shared" si="77"/>
        <v>0.012661803921595969</v>
      </c>
      <c r="L179" s="177">
        <f t="shared" si="62"/>
        <v>2.356159623589881</v>
      </c>
      <c r="M179" s="178">
        <f t="shared" si="63"/>
        <v>0.03289793426284587</v>
      </c>
      <c r="N179" s="403">
        <f t="shared" si="73"/>
        <v>0</v>
      </c>
      <c r="O179" s="177">
        <f t="shared" si="78"/>
        <v>0.001611988552446224</v>
      </c>
      <c r="P179" s="174">
        <f t="shared" si="85"/>
        <v>0.0002356159623589881</v>
      </c>
      <c r="Q179" s="179">
        <f t="shared" si="64"/>
        <v>0.0011059729551030962</v>
      </c>
      <c r="R179" s="179">
        <f t="shared" si="65"/>
        <v>0.010843864002502217</v>
      </c>
      <c r="S179" s="180">
        <f t="shared" si="66"/>
        <v>0.10199067000913081</v>
      </c>
      <c r="T179" s="179">
        <f t="shared" si="67"/>
        <v>0.9891561359974979</v>
      </c>
      <c r="U179" s="181">
        <f t="shared" si="68"/>
        <v>0.11059729551030963</v>
      </c>
    </row>
    <row r="180" spans="1:21" ht="12.75">
      <c r="A180" s="91">
        <f t="shared" si="79"/>
        <v>1997.699999999984</v>
      </c>
      <c r="B180" s="171">
        <f t="shared" si="74"/>
        <v>50.57458220153626</v>
      </c>
      <c r="C180" s="171">
        <f t="shared" si="75"/>
        <v>0.4965890633238289</v>
      </c>
      <c r="D180" s="172">
        <f t="shared" si="76"/>
        <v>0.05782682074248287</v>
      </c>
      <c r="E180" s="171">
        <f t="shared" si="61"/>
        <v>51.128998085602575</v>
      </c>
      <c r="F180" s="171"/>
      <c r="G180" s="171">
        <f t="shared" si="70"/>
        <v>0.152750438230642</v>
      </c>
      <c r="H180" s="171">
        <f t="shared" si="71"/>
        <v>0.152671659434293</v>
      </c>
      <c r="I180" s="91">
        <f t="shared" si="82"/>
        <v>0.11418050677069595</v>
      </c>
      <c r="J180" s="91">
        <f t="shared" si="84"/>
        <v>29.745695056150083</v>
      </c>
      <c r="K180" s="172">
        <f t="shared" si="77"/>
        <v>0.012709709782777277</v>
      </c>
      <c r="L180" s="177">
        <f t="shared" si="62"/>
        <v>2.411661111310593</v>
      </c>
      <c r="M180" s="178">
        <f t="shared" si="63"/>
        <v>0.03364233683970649</v>
      </c>
      <c r="N180" s="403">
        <f t="shared" si="73"/>
        <v>0</v>
      </c>
      <c r="O180" s="177">
        <f t="shared" si="78"/>
        <v>0.0016411675682536384</v>
      </c>
      <c r="P180" s="174">
        <f t="shared" si="85"/>
        <v>0.00024116611113105929</v>
      </c>
      <c r="Q180" s="179">
        <f t="shared" si="64"/>
        <v>0.0011309985117577794</v>
      </c>
      <c r="R180" s="179">
        <f t="shared" si="65"/>
        <v>0.010843472487727662</v>
      </c>
      <c r="S180" s="180">
        <f t="shared" si="66"/>
        <v>0.1043022438649438</v>
      </c>
      <c r="T180" s="179">
        <f t="shared" si="67"/>
        <v>0.9891565275122722</v>
      </c>
      <c r="U180" s="181">
        <f t="shared" si="68"/>
        <v>0.11309985117577794</v>
      </c>
    </row>
    <row r="181" spans="1:21" ht="12.75">
      <c r="A181" s="91">
        <f t="shared" si="79"/>
        <v>1997.7999999999838</v>
      </c>
      <c r="B181" s="171">
        <f t="shared" si="74"/>
        <v>50.475380655835835</v>
      </c>
      <c r="C181" s="171">
        <f t="shared" si="75"/>
        <v>0.4942934147830142</v>
      </c>
      <c r="D181" s="172">
        <f t="shared" si="76"/>
        <v>0.05901432995886845</v>
      </c>
      <c r="E181" s="171">
        <f t="shared" si="61"/>
        <v>51.02868840057772</v>
      </c>
      <c r="F181" s="171"/>
      <c r="G181" s="171">
        <f t="shared" si="70"/>
        <v>0.152450758031146</v>
      </c>
      <c r="H181" s="171">
        <f t="shared" si="71"/>
        <v>0.1523703614639163</v>
      </c>
      <c r="I181" s="91">
        <f t="shared" si="82"/>
        <v>0.11387192742051712</v>
      </c>
      <c r="J181" s="91">
        <f t="shared" si="84"/>
        <v>29.745695056150083</v>
      </c>
      <c r="K181" s="172">
        <f t="shared" si="77"/>
        <v>0.01275893157735081</v>
      </c>
      <c r="L181" s="177">
        <f t="shared" si="62"/>
        <v>2.468366213724786</v>
      </c>
      <c r="M181" s="178">
        <f t="shared" si="63"/>
        <v>0.034400693373095766</v>
      </c>
      <c r="N181" s="403">
        <f t="shared" si="73"/>
        <v>0</v>
      </c>
      <c r="O181" s="177">
        <f t="shared" si="78"/>
        <v>0.0016706416539254588</v>
      </c>
      <c r="P181" s="174">
        <f t="shared" si="85"/>
        <v>0.0002468366213724786</v>
      </c>
      <c r="Q181" s="179">
        <f t="shared" si="64"/>
        <v>0.0011564931768499132</v>
      </c>
      <c r="R181" s="179">
        <f t="shared" si="65"/>
        <v>0.010843072046030059</v>
      </c>
      <c r="S181" s="180">
        <f t="shared" si="66"/>
        <v>0.10665733584914587</v>
      </c>
      <c r="T181" s="179">
        <f t="shared" si="67"/>
        <v>0.9891569279539699</v>
      </c>
      <c r="U181" s="181">
        <f t="shared" si="68"/>
        <v>0.11564931768499132</v>
      </c>
    </row>
    <row r="182" spans="1:21" ht="12.75">
      <c r="A182" s="91">
        <f t="shared" si="79"/>
        <v>1997.8999999999837</v>
      </c>
      <c r="B182" s="171">
        <f t="shared" si="74"/>
        <v>50.376285296032535</v>
      </c>
      <c r="C182" s="171">
        <f t="shared" si="75"/>
        <v>0.49197943137512584</v>
      </c>
      <c r="D182" s="172">
        <f t="shared" si="76"/>
        <v>0.060220961704058835</v>
      </c>
      <c r="E182" s="171">
        <f aca="true" t="shared" si="86" ref="E182:E245">B182+C182+D182</f>
        <v>50.928485689111724</v>
      </c>
      <c r="F182" s="171"/>
      <c r="G182" s="171">
        <f t="shared" si="70"/>
        <v>0.15215139742050576</v>
      </c>
      <c r="H182" s="171">
        <f t="shared" si="71"/>
        <v>0.1520693570313384</v>
      </c>
      <c r="I182" s="91">
        <f t="shared" si="82"/>
        <v>0.11356484296784922</v>
      </c>
      <c r="J182" s="91">
        <f t="shared" si="84"/>
        <v>29.745695056150083</v>
      </c>
      <c r="K182" s="172">
        <f t="shared" si="77"/>
        <v>0.012809470318618487</v>
      </c>
      <c r="L182" s="177">
        <f aca="true" t="shared" si="87" ref="L182:L245">phi*P182</f>
        <v>2.5113285157800496</v>
      </c>
      <c r="M182" s="178">
        <f aca="true" t="shared" si="88" ref="M182:M245">MIN(1,J182*D182/E182)</f>
        <v>0.03517313225788689</v>
      </c>
      <c r="N182" s="403">
        <f t="shared" si="73"/>
        <v>0</v>
      </c>
      <c r="O182" s="177">
        <f t="shared" si="78"/>
        <v>0.0017004036198290913</v>
      </c>
      <c r="P182" s="174">
        <f t="shared" si="85"/>
        <v>0.00025113285157800494</v>
      </c>
      <c r="Q182" s="179">
        <f aca="true" t="shared" si="89" ref="Q182:Q245">D182/E182</f>
        <v>0.0011824612667981566</v>
      </c>
      <c r="R182" s="179">
        <f aca="true" t="shared" si="90" ref="R182:R245">(C182+D182)/E182</f>
        <v>0.01084266271826815</v>
      </c>
      <c r="S182" s="180">
        <f aca="true" t="shared" si="91" ref="S182:S245">D182/(C182+D182)</f>
        <v>0.1090563542851793</v>
      </c>
      <c r="T182" s="179">
        <f aca="true" t="shared" si="92" ref="T182:T245">B182/E182</f>
        <v>0.9891573372817317</v>
      </c>
      <c r="U182" s="181">
        <f aca="true" t="shared" si="93" ref="U182:U245">Q182*100</f>
        <v>0.11824612667981566</v>
      </c>
    </row>
    <row r="183" spans="1:23" ht="12.75">
      <c r="A183" s="91">
        <f t="shared" si="79"/>
        <v>1997.9999999999836</v>
      </c>
      <c r="B183" s="171">
        <f t="shared" si="74"/>
        <v>50.277297028415035</v>
      </c>
      <c r="C183" s="171">
        <f t="shared" si="75"/>
        <v>0.4896470478991166</v>
      </c>
      <c r="D183" s="172">
        <f t="shared" si="76"/>
        <v>0.061448290418235664</v>
      </c>
      <c r="E183" s="171">
        <f t="shared" si="86"/>
        <v>50.82839236673239</v>
      </c>
      <c r="F183" s="171"/>
      <c r="G183" s="171">
        <f t="shared" si="70"/>
        <v>0.15185236361523136</v>
      </c>
      <c r="H183" s="171">
        <f t="shared" si="71"/>
        <v>0.1517686512081736</v>
      </c>
      <c r="I183" s="91">
        <f t="shared" si="82"/>
        <v>0.1132592473753056</v>
      </c>
      <c r="J183" s="91">
        <f t="shared" si="84"/>
        <v>29.745695056150083</v>
      </c>
      <c r="K183" s="172">
        <f t="shared" si="77"/>
        <v>0.012861334757389122</v>
      </c>
      <c r="L183" s="177">
        <f t="shared" si="87"/>
        <v>2.56968617208738</v>
      </c>
      <c r="M183" s="178">
        <f t="shared" si="88"/>
        <v>0.03596065158454455</v>
      </c>
      <c r="N183" s="403">
        <f t="shared" si="73"/>
        <v>0</v>
      </c>
      <c r="O183" s="177">
        <f t="shared" si="78"/>
        <v>0.0017304457607917288</v>
      </c>
      <c r="P183" s="174">
        <f t="shared" si="85"/>
        <v>0.000256968617208738</v>
      </c>
      <c r="Q183" s="179">
        <f t="shared" si="89"/>
        <v>0.0012089363357172416</v>
      </c>
      <c r="R183" s="179">
        <f t="shared" si="90"/>
        <v>0.010842273632050752</v>
      </c>
      <c r="S183" s="180">
        <f t="shared" si="91"/>
        <v>0.11150210525433663</v>
      </c>
      <c r="T183" s="179">
        <f t="shared" si="92"/>
        <v>0.9891577263679492</v>
      </c>
      <c r="U183" s="181">
        <f t="shared" si="93"/>
        <v>0.12089363357172417</v>
      </c>
      <c r="V183">
        <f>IF(ISNUMBER('Set-up'!$N$25)=FALSE,"",('Set-up'!$N$25-'EPP model'!U183)^2)</f>
      </c>
      <c r="W183" t="e">
        <f>IF(ISNUMBER('Set-up'!$N$25)=FALSE,NA()=FALSE,('Set-up'!$N$25))</f>
        <v>#N/A</v>
      </c>
    </row>
    <row r="184" spans="1:21" ht="12.75">
      <c r="A184" s="91">
        <f t="shared" si="79"/>
        <v>1998.0999999999835</v>
      </c>
      <c r="B184" s="171">
        <f t="shared" si="74"/>
        <v>50.17841716827214</v>
      </c>
      <c r="C184" s="171">
        <f t="shared" si="75"/>
        <v>0.4872957460097172</v>
      </c>
      <c r="D184" s="172">
        <f t="shared" si="76"/>
        <v>0.06269500475022365</v>
      </c>
      <c r="E184" s="171">
        <f t="shared" si="86"/>
        <v>50.72840791903208</v>
      </c>
      <c r="F184" s="171"/>
      <c r="G184" s="171">
        <f t="shared" si="70"/>
        <v>0.15155365507850432</v>
      </c>
      <c r="H184" s="171">
        <f t="shared" si="71"/>
        <v>0.15146824424408697</v>
      </c>
      <c r="I184" s="91">
        <f t="shared" si="82"/>
        <v>0.11295513463025109</v>
      </c>
      <c r="J184" s="91">
        <f t="shared" si="84"/>
        <v>29.745695056150083</v>
      </c>
      <c r="K184" s="172">
        <f t="shared" si="77"/>
        <v>0.012910826579340036</v>
      </c>
      <c r="L184" s="177">
        <f t="shared" si="87"/>
        <v>2.6293397373420353</v>
      </c>
      <c r="M184" s="178">
        <f t="shared" si="88"/>
        <v>0.03676256695894384</v>
      </c>
      <c r="N184" s="403">
        <f t="shared" si="73"/>
        <v>0</v>
      </c>
      <c r="O184" s="177">
        <f t="shared" si="78"/>
        <v>0.0017608026888900929</v>
      </c>
      <c r="P184" s="174">
        <f t="shared" si="85"/>
        <v>0.00026293397373420354</v>
      </c>
      <c r="Q184" s="179">
        <f t="shared" si="89"/>
        <v>0.0012358953754332588</v>
      </c>
      <c r="R184" s="179">
        <f t="shared" si="90"/>
        <v>0.010841868951175926</v>
      </c>
      <c r="S184" s="180">
        <f t="shared" si="91"/>
        <v>0.11399283472239458</v>
      </c>
      <c r="T184" s="179">
        <f t="shared" si="92"/>
        <v>0.9891581310488241</v>
      </c>
      <c r="U184" s="181">
        <f t="shared" si="93"/>
        <v>0.12358953754332588</v>
      </c>
    </row>
    <row r="185" spans="1:21" ht="12.75">
      <c r="A185" s="91">
        <f t="shared" si="79"/>
        <v>1998.1999999999834</v>
      </c>
      <c r="B185" s="171">
        <f t="shared" si="74"/>
        <v>50.07964650388631</v>
      </c>
      <c r="C185" s="171">
        <f t="shared" si="75"/>
        <v>0.48492557520029156</v>
      </c>
      <c r="D185" s="172">
        <f t="shared" si="76"/>
        <v>0.06396115862552496</v>
      </c>
      <c r="E185" s="171">
        <f t="shared" si="86"/>
        <v>50.628533237712126</v>
      </c>
      <c r="F185" s="171"/>
      <c r="G185" s="171">
        <f t="shared" si="70"/>
        <v>0.15125527447432688</v>
      </c>
      <c r="H185" s="171">
        <f t="shared" si="71"/>
        <v>0.15116813872961693</v>
      </c>
      <c r="I185" s="91">
        <f t="shared" si="82"/>
        <v>0.11265249874467745</v>
      </c>
      <c r="J185" s="91">
        <f t="shared" si="84"/>
        <v>29.745695056150083</v>
      </c>
      <c r="K185" s="172">
        <f t="shared" si="77"/>
        <v>0.01296250145375932</v>
      </c>
      <c r="L185" s="177">
        <f t="shared" si="87"/>
        <v>2.690247297561058</v>
      </c>
      <c r="M185" s="178">
        <f t="shared" si="88"/>
        <v>0.03757898951920901</v>
      </c>
      <c r="N185" s="403">
        <f t="shared" si="73"/>
        <v>0</v>
      </c>
      <c r="O185" s="177">
        <f t="shared" si="78"/>
        <v>0.0017914242491490718</v>
      </c>
      <c r="P185" s="174">
        <f t="shared" si="85"/>
        <v>0.0002690247297561058</v>
      </c>
      <c r="Q185" s="179">
        <f t="shared" si="89"/>
        <v>0.0012633421222221315</v>
      </c>
      <c r="R185" s="179">
        <f t="shared" si="90"/>
        <v>0.010841450437615332</v>
      </c>
      <c r="S185" s="180">
        <f t="shared" si="91"/>
        <v>0.11652888416469245</v>
      </c>
      <c r="T185" s="179">
        <f t="shared" si="92"/>
        <v>0.9891585495623847</v>
      </c>
      <c r="U185" s="181">
        <f t="shared" si="93"/>
        <v>0.12633421222221314</v>
      </c>
    </row>
    <row r="186" spans="1:21" ht="12.75">
      <c r="A186" s="91">
        <f t="shared" si="79"/>
        <v>1998.2999999999834</v>
      </c>
      <c r="B186" s="171">
        <f t="shared" si="74"/>
        <v>49.980985838806475</v>
      </c>
      <c r="C186" s="171">
        <f t="shared" si="75"/>
        <v>0.48253656935946626</v>
      </c>
      <c r="D186" s="172">
        <f t="shared" si="76"/>
        <v>0.06524680080463428</v>
      </c>
      <c r="E186" s="171">
        <f t="shared" si="86"/>
        <v>50.52876920897058</v>
      </c>
      <c r="F186" s="171"/>
      <c r="G186" s="171">
        <f t="shared" si="70"/>
        <v>0.15095722445026008</v>
      </c>
      <c r="H186" s="171">
        <f t="shared" si="71"/>
        <v>0.15086833724589688</v>
      </c>
      <c r="I186" s="91">
        <f t="shared" si="82"/>
        <v>0.112351333755079</v>
      </c>
      <c r="J186" s="91">
        <f t="shared" si="84"/>
        <v>29.745695056150083</v>
      </c>
      <c r="K186" s="172">
        <f t="shared" si="77"/>
        <v>0.01301615735615463</v>
      </c>
      <c r="L186" s="177">
        <f t="shared" si="87"/>
        <v>2.7524318120158546</v>
      </c>
      <c r="M186" s="178">
        <f t="shared" si="88"/>
        <v>0.038410028000038024</v>
      </c>
      <c r="N186" s="403">
        <f t="shared" si="73"/>
        <v>0</v>
      </c>
      <c r="O186" s="177">
        <f t="shared" si="78"/>
        <v>0.0018223013108048158</v>
      </c>
      <c r="P186" s="174">
        <f t="shared" si="85"/>
        <v>0.00027524318120158547</v>
      </c>
      <c r="Q186" s="179">
        <f t="shared" si="89"/>
        <v>0.0012912802315606523</v>
      </c>
      <c r="R186" s="179">
        <f t="shared" si="90"/>
        <v>0.01084101945762119</v>
      </c>
      <c r="S186" s="180">
        <f t="shared" si="91"/>
        <v>0.11911059071597624</v>
      </c>
      <c r="T186" s="179">
        <f t="shared" si="92"/>
        <v>0.9891589805423787</v>
      </c>
      <c r="U186" s="181">
        <f t="shared" si="93"/>
        <v>0.12912802315606522</v>
      </c>
    </row>
    <row r="187" spans="1:21" ht="12.75">
      <c r="A187" s="91">
        <f t="shared" si="79"/>
        <v>1998.3999999999833</v>
      </c>
      <c r="B187" s="171">
        <f t="shared" si="74"/>
        <v>49.88243598613336</v>
      </c>
      <c r="C187" s="171">
        <f t="shared" si="75"/>
        <v>0.480128752940687</v>
      </c>
      <c r="D187" s="172">
        <f t="shared" si="76"/>
        <v>0.06655196798824595</v>
      </c>
      <c r="E187" s="171">
        <f t="shared" si="86"/>
        <v>50.42911670706229</v>
      </c>
      <c r="F187" s="171"/>
      <c r="G187" s="171">
        <f t="shared" si="70"/>
        <v>0.15065950761818397</v>
      </c>
      <c r="H187" s="171">
        <f t="shared" si="71"/>
        <v>0.15056884235480872</v>
      </c>
      <c r="I187" s="91">
        <f t="shared" si="82"/>
        <v>0.11205163372232843</v>
      </c>
      <c r="J187" s="91">
        <f t="shared" si="84"/>
        <v>29.745695056150083</v>
      </c>
      <c r="K187" s="172">
        <f t="shared" si="77"/>
        <v>0.013071640585009417</v>
      </c>
      <c r="L187" s="177">
        <f t="shared" si="87"/>
        <v>2.8159161089229445</v>
      </c>
      <c r="M187" s="178">
        <f t="shared" si="88"/>
        <v>0.039255784642521614</v>
      </c>
      <c r="N187" s="403">
        <f t="shared" si="73"/>
        <v>0</v>
      </c>
      <c r="O187" s="177">
        <f t="shared" si="78"/>
        <v>0.001853424314013939</v>
      </c>
      <c r="P187" s="174">
        <f t="shared" si="85"/>
        <v>0.00028159161089229447</v>
      </c>
      <c r="Q187" s="179">
        <f t="shared" si="89"/>
        <v>0.0013197131406215122</v>
      </c>
      <c r="R187" s="179">
        <f t="shared" si="90"/>
        <v>0.010840576964782998</v>
      </c>
      <c r="S187" s="180">
        <f t="shared" si="91"/>
        <v>0.121738275085244</v>
      </c>
      <c r="T187" s="179">
        <f t="shared" si="92"/>
        <v>0.989159423035217</v>
      </c>
      <c r="U187" s="181">
        <f t="shared" si="93"/>
        <v>0.1319713140621512</v>
      </c>
    </row>
    <row r="188" spans="1:21" ht="12.75">
      <c r="A188" s="91">
        <f t="shared" si="79"/>
        <v>1998.4999999999832</v>
      </c>
      <c r="B188" s="171">
        <f t="shared" si="74"/>
        <v>49.78399774103893</v>
      </c>
      <c r="C188" s="171">
        <f t="shared" si="75"/>
        <v>0.4777021472555102</v>
      </c>
      <c r="D188" s="172">
        <f t="shared" si="76"/>
        <v>0.06787668427450068</v>
      </c>
      <c r="E188" s="171">
        <f t="shared" si="86"/>
        <v>50.329576572568946</v>
      </c>
      <c r="F188" s="171"/>
      <c r="G188" s="171">
        <f t="shared" si="70"/>
        <v>0.15036212648937838</v>
      </c>
      <c r="H188" s="171">
        <f t="shared" si="71"/>
        <v>0.15026965653480281</v>
      </c>
      <c r="I188" s="91">
        <f t="shared" si="82"/>
        <v>0.11175337091423378</v>
      </c>
      <c r="J188" s="91">
        <f t="shared" si="84"/>
        <v>29.745695056150083</v>
      </c>
      <c r="K188" s="172">
        <f t="shared" si="77"/>
        <v>0.013128848749407125</v>
      </c>
      <c r="L188" s="177">
        <f t="shared" si="87"/>
        <v>2.8807224026889173</v>
      </c>
      <c r="M188" s="178">
        <f t="shared" si="88"/>
        <v>0.04011635482251025</v>
      </c>
      <c r="N188" s="403">
        <f t="shared" si="73"/>
        <v>0</v>
      </c>
      <c r="O188" s="177">
        <f t="shared" si="78"/>
        <v>0.0018847830926122075</v>
      </c>
      <c r="P188" s="174">
        <f t="shared" si="85"/>
        <v>0.00028807224026889175</v>
      </c>
      <c r="Q188" s="179">
        <f t="shared" si="89"/>
        <v>0.001348644055779627</v>
      </c>
      <c r="R188" s="179">
        <f t="shared" si="90"/>
        <v>0.010840123614856059</v>
      </c>
      <c r="S188" s="180">
        <f t="shared" si="91"/>
        <v>0.12441223953676613</v>
      </c>
      <c r="T188" s="179">
        <f t="shared" si="92"/>
        <v>0.9891598763851438</v>
      </c>
      <c r="U188" s="181">
        <f t="shared" si="93"/>
        <v>0.1348644055779627</v>
      </c>
    </row>
    <row r="189" spans="1:21" ht="12.75">
      <c r="A189" s="91">
        <f t="shared" si="79"/>
        <v>1998.599999999983</v>
      </c>
      <c r="B189" s="171">
        <f t="shared" si="74"/>
        <v>49.68567194113924</v>
      </c>
      <c r="C189" s="171">
        <f t="shared" si="75"/>
        <v>0.4752567762379475</v>
      </c>
      <c r="D189" s="172">
        <f t="shared" si="76"/>
        <v>0.06922096067654211</v>
      </c>
      <c r="E189" s="171">
        <f t="shared" si="86"/>
        <v>50.23014967805373</v>
      </c>
      <c r="F189" s="171"/>
      <c r="G189" s="171">
        <f t="shared" si="70"/>
        <v>0.15006508367066942</v>
      </c>
      <c r="H189" s="171">
        <f t="shared" si="71"/>
        <v>0.1499707823777019</v>
      </c>
      <c r="I189" s="91">
        <f t="shared" si="82"/>
        <v>0.11145658305103173</v>
      </c>
      <c r="J189" s="91">
        <f t="shared" si="84"/>
        <v>29.745695056150083</v>
      </c>
      <c r="K189" s="172">
        <f t="shared" si="77"/>
        <v>0.013187716785907404</v>
      </c>
      <c r="L189" s="177">
        <f t="shared" si="87"/>
        <v>2.946873236528685</v>
      </c>
      <c r="M189" s="178">
        <f t="shared" si="88"/>
        <v>0.040991826641476166</v>
      </c>
      <c r="N189" s="403">
        <f t="shared" si="73"/>
        <v>0</v>
      </c>
      <c r="O189" s="177">
        <f t="shared" si="78"/>
        <v>0.001916366883877709</v>
      </c>
      <c r="P189" s="174">
        <f t="shared" si="85"/>
        <v>0.0002946873236528685</v>
      </c>
      <c r="Q189" s="179">
        <f t="shared" si="89"/>
        <v>0.001378075938857609</v>
      </c>
      <c r="R189" s="179">
        <f t="shared" si="90"/>
        <v>0.010839659853778612</v>
      </c>
      <c r="S189" s="180">
        <f t="shared" si="91"/>
        <v>0.12713276592136086</v>
      </c>
      <c r="T189" s="179">
        <f t="shared" si="92"/>
        <v>0.9891603401462215</v>
      </c>
      <c r="U189" s="181">
        <f t="shared" si="93"/>
        <v>0.1378075938857609</v>
      </c>
    </row>
    <row r="190" spans="1:21" ht="12.75">
      <c r="A190" s="91">
        <f t="shared" si="79"/>
        <v>1998.699999999983</v>
      </c>
      <c r="B190" s="171">
        <f t="shared" si="74"/>
        <v>49.587459398774286</v>
      </c>
      <c r="C190" s="171">
        <f t="shared" si="75"/>
        <v>0.4727926692071477</v>
      </c>
      <c r="D190" s="172">
        <f t="shared" si="76"/>
        <v>0.07058479455747264</v>
      </c>
      <c r="E190" s="171">
        <f t="shared" si="86"/>
        <v>50.13083686253891</v>
      </c>
      <c r="F190" s="171"/>
      <c r="G190" s="171">
        <f t="shared" si="70"/>
        <v>0.14976838166867812</v>
      </c>
      <c r="H190" s="171">
        <f t="shared" si="71"/>
        <v>0.14967222239371916</v>
      </c>
      <c r="I190" s="91">
        <f t="shared" si="82"/>
        <v>0.11116124249719815</v>
      </c>
      <c r="J190" s="91">
        <f t="shared" si="84"/>
        <v>29.745695056150083</v>
      </c>
      <c r="K190" s="172">
        <f t="shared" si="77"/>
        <v>0.01324820618448763</v>
      </c>
      <c r="L190" s="177">
        <f t="shared" si="87"/>
        <v>3.0143910559005285</v>
      </c>
      <c r="M190" s="178">
        <f t="shared" si="88"/>
        <v>0.04188228056644591</v>
      </c>
      <c r="N190" s="403">
        <f t="shared" si="73"/>
        <v>0</v>
      </c>
      <c r="O190" s="177">
        <f t="shared" si="78"/>
        <v>0.0019481643381732774</v>
      </c>
      <c r="P190" s="174">
        <f t="shared" si="85"/>
        <v>0.00030143910559005284</v>
      </c>
      <c r="Q190" s="179">
        <f t="shared" si="89"/>
        <v>0.0014080114950209078</v>
      </c>
      <c r="R190" s="179">
        <f t="shared" si="90"/>
        <v>0.01083918597358721</v>
      </c>
      <c r="S190" s="180">
        <f t="shared" si="91"/>
        <v>0.12990011412775207</v>
      </c>
      <c r="T190" s="179">
        <f t="shared" si="92"/>
        <v>0.9891608140264128</v>
      </c>
      <c r="U190" s="181">
        <f t="shared" si="93"/>
        <v>0.14080114950209077</v>
      </c>
    </row>
    <row r="191" spans="1:21" ht="12.75">
      <c r="A191" s="91">
        <f t="shared" si="79"/>
        <v>1998.799999999983</v>
      </c>
      <c r="B191" s="171">
        <f t="shared" si="74"/>
        <v>49.48936092036561</v>
      </c>
      <c r="C191" s="171">
        <f t="shared" si="75"/>
        <v>0.4703098639612522</v>
      </c>
      <c r="D191" s="172">
        <f t="shared" si="76"/>
        <v>0.07196816911353285</v>
      </c>
      <c r="E191" s="171">
        <f t="shared" si="86"/>
        <v>50.0316389534404</v>
      </c>
      <c r="F191" s="171"/>
      <c r="G191" s="171">
        <f t="shared" si="70"/>
        <v>0.14947202295535086</v>
      </c>
      <c r="H191" s="171">
        <f t="shared" si="71"/>
        <v>0.14937397907769326</v>
      </c>
      <c r="I191" s="91">
        <f t="shared" si="82"/>
        <v>0.11086734340167136</v>
      </c>
      <c r="J191" s="91">
        <f t="shared" si="84"/>
        <v>29.745695056150083</v>
      </c>
      <c r="K191" s="172">
        <f t="shared" si="77"/>
        <v>0.013310298185112895</v>
      </c>
      <c r="L191" s="177">
        <f t="shared" si="87"/>
        <v>3.0832982400288675</v>
      </c>
      <c r="M191" s="178">
        <f t="shared" si="88"/>
        <v>0.04278778902671507</v>
      </c>
      <c r="N191" s="403">
        <f t="shared" si="73"/>
        <v>0</v>
      </c>
      <c r="O191" s="177">
        <f t="shared" si="78"/>
        <v>0.001980163522149261</v>
      </c>
      <c r="P191" s="174">
        <f t="shared" si="85"/>
        <v>0.00030832982400288674</v>
      </c>
      <c r="Q191" s="179">
        <f t="shared" si="89"/>
        <v>0.0014384531592200418</v>
      </c>
      <c r="R191" s="179">
        <f t="shared" si="90"/>
        <v>0.010838702157637305</v>
      </c>
      <c r="S191" s="180">
        <f t="shared" si="91"/>
        <v>0.13271452045635007</v>
      </c>
      <c r="T191" s="179">
        <f t="shared" si="92"/>
        <v>0.9891612978423626</v>
      </c>
      <c r="U191" s="181">
        <f t="shared" si="93"/>
        <v>0.14384531592200417</v>
      </c>
    </row>
    <row r="192" spans="1:21" ht="12.75">
      <c r="A192" s="91">
        <f t="shared" si="79"/>
        <v>1998.8999999999828</v>
      </c>
      <c r="B192" s="171">
        <f t="shared" si="74"/>
        <v>49.391377304868726</v>
      </c>
      <c r="C192" s="171">
        <f t="shared" si="75"/>
        <v>0.46780840892594894</v>
      </c>
      <c r="D192" s="172">
        <f t="shared" si="76"/>
        <v>0.07337105286118331</v>
      </c>
      <c r="E192" s="171">
        <f t="shared" si="86"/>
        <v>49.93255676665586</v>
      </c>
      <c r="F192" s="171"/>
      <c r="G192" s="171">
        <f t="shared" si="70"/>
        <v>0.14917600996822272</v>
      </c>
      <c r="H192" s="171">
        <f t="shared" si="71"/>
        <v>0.1490760549100499</v>
      </c>
      <c r="I192" s="91">
        <f t="shared" si="82"/>
        <v>0.11057487994629005</v>
      </c>
      <c r="J192" s="91">
        <f t="shared" si="84"/>
        <v>29.745695056150083</v>
      </c>
      <c r="K192" s="172">
        <f t="shared" si="77"/>
        <v>0.013373988228421466</v>
      </c>
      <c r="L192" s="177">
        <f t="shared" si="87"/>
        <v>3.153617122660197</v>
      </c>
      <c r="M192" s="178">
        <f t="shared" si="88"/>
        <v>0.04370841602517031</v>
      </c>
      <c r="N192" s="403">
        <f t="shared" si="73"/>
        <v>0</v>
      </c>
      <c r="O192" s="177">
        <f t="shared" si="78"/>
        <v>0.002012351923635712</v>
      </c>
      <c r="P192" s="174">
        <f t="shared" si="85"/>
        <v>0.00031536171226601966</v>
      </c>
      <c r="Q192" s="179">
        <f t="shared" si="89"/>
        <v>0.0014694030831239008</v>
      </c>
      <c r="R192" s="179">
        <f t="shared" si="90"/>
        <v>0.010838208512257138</v>
      </c>
      <c r="S192" s="180">
        <f t="shared" si="91"/>
        <v>0.1355761961455276</v>
      </c>
      <c r="T192" s="179">
        <f t="shared" si="92"/>
        <v>0.9891617914877429</v>
      </c>
      <c r="U192" s="181">
        <f t="shared" si="93"/>
        <v>0.14694030831239008</v>
      </c>
    </row>
    <row r="193" spans="1:23" ht="12.75">
      <c r="A193" s="91">
        <f t="shared" si="79"/>
        <v>1998.9999999999827</v>
      </c>
      <c r="B193" s="171">
        <f t="shared" si="74"/>
        <v>49.29350934267263</v>
      </c>
      <c r="C193" s="171">
        <f t="shared" si="75"/>
        <v>0.46528836484009545</v>
      </c>
      <c r="D193" s="172">
        <f t="shared" si="76"/>
        <v>0.07479339912835561</v>
      </c>
      <c r="E193" s="171">
        <f t="shared" si="86"/>
        <v>49.83359110664108</v>
      </c>
      <c r="F193" s="171"/>
      <c r="G193" s="171">
        <f t="shared" si="70"/>
        <v>0.14888034511064557</v>
      </c>
      <c r="H193" s="171">
        <f t="shared" si="71"/>
        <v>0.14877845235772352</v>
      </c>
      <c r="I193" s="91">
        <f t="shared" si="82"/>
        <v>0.11028384633655934</v>
      </c>
      <c r="J193" s="91">
        <f t="shared" si="84"/>
        <v>29.745695056150083</v>
      </c>
      <c r="K193" s="172">
        <f t="shared" si="77"/>
        <v>0.013439282068473554</v>
      </c>
      <c r="L193" s="177">
        <f t="shared" si="87"/>
        <v>3.209316265547837</v>
      </c>
      <c r="M193" s="178">
        <f t="shared" si="88"/>
        <v>0.044644216747777216</v>
      </c>
      <c r="N193" s="403">
        <f t="shared" si="73"/>
        <v>0</v>
      </c>
      <c r="O193" s="177">
        <f t="shared" si="78"/>
        <v>0.0020447164557408372</v>
      </c>
      <c r="P193" s="174">
        <f t="shared" si="85"/>
        <v>0.0003209316265547837</v>
      </c>
      <c r="Q193" s="179">
        <f t="shared" si="89"/>
        <v>0.0015008631219913882</v>
      </c>
      <c r="R193" s="179">
        <f t="shared" si="90"/>
        <v>0.010837705089579167</v>
      </c>
      <c r="S193" s="180">
        <f t="shared" si="91"/>
        <v>0.13848532596024604</v>
      </c>
      <c r="T193" s="179">
        <f t="shared" si="92"/>
        <v>0.9891622949104208</v>
      </c>
      <c r="U193" s="181">
        <f t="shared" si="93"/>
        <v>0.15008631219913882</v>
      </c>
      <c r="V193">
        <f>IF(ISNUMBER('Set-up'!$N$26)=FALSE,"",('Set-up'!$N$26-'EPP model'!U193)^2)</f>
      </c>
      <c r="W193" t="e">
        <f>IF(ISNUMBER('Set-up'!$N$26)=FALSE,NA()=FALSE,('Set-up'!$N$26))</f>
        <v>#N/A</v>
      </c>
    </row>
    <row r="194" spans="1:21" ht="12.75">
      <c r="A194" s="91">
        <f t="shared" si="79"/>
        <v>1999.0999999999826</v>
      </c>
      <c r="B194" s="171">
        <f t="shared" si="74"/>
        <v>49.19575781482801</v>
      </c>
      <c r="C194" s="171">
        <f t="shared" si="75"/>
        <v>0.46274980610596694</v>
      </c>
      <c r="D194" s="172">
        <f t="shared" si="76"/>
        <v>0.07623675092464657</v>
      </c>
      <c r="E194" s="171">
        <f t="shared" si="86"/>
        <v>49.734744371858625</v>
      </c>
      <c r="F194" s="171"/>
      <c r="G194" s="171">
        <f t="shared" si="70"/>
        <v>0.14858503554814625</v>
      </c>
      <c r="H194" s="171">
        <f t="shared" si="71"/>
        <v>0.1484811764841637</v>
      </c>
      <c r="I194" s="91">
        <f t="shared" si="82"/>
        <v>0.10999423680152695</v>
      </c>
      <c r="J194" s="91">
        <f t="shared" si="84"/>
        <v>29.745695056150083</v>
      </c>
      <c r="K194" s="172">
        <f t="shared" si="77"/>
        <v>0.013506192962852305</v>
      </c>
      <c r="L194" s="177">
        <f t="shared" si="87"/>
        <v>3.281657168057953</v>
      </c>
      <c r="M194" s="178">
        <f t="shared" si="88"/>
        <v>0.04559619585296078</v>
      </c>
      <c r="N194" s="403">
        <f t="shared" si="73"/>
        <v>0</v>
      </c>
      <c r="O194" s="177">
        <f t="shared" si="78"/>
        <v>0.0020772434610140064</v>
      </c>
      <c r="P194" s="174">
        <f t="shared" si="85"/>
        <v>0.0003281657168057953</v>
      </c>
      <c r="Q194" s="179">
        <f t="shared" si="89"/>
        <v>0.0015328670507409616</v>
      </c>
      <c r="R194" s="179">
        <f t="shared" si="90"/>
        <v>0.010837223832914437</v>
      </c>
      <c r="S194" s="180">
        <f t="shared" si="91"/>
        <v>0.14144462404526437</v>
      </c>
      <c r="T194" s="179">
        <f t="shared" si="92"/>
        <v>0.9891627761670856</v>
      </c>
      <c r="U194" s="181">
        <f t="shared" si="93"/>
        <v>0.15328670507409617</v>
      </c>
    </row>
    <row r="195" spans="1:21" ht="12.75">
      <c r="A195" s="91">
        <f t="shared" si="79"/>
        <v>1999.1999999999825</v>
      </c>
      <c r="B195" s="171">
        <f t="shared" si="74"/>
        <v>49.098123961479786</v>
      </c>
      <c r="C195" s="171">
        <f t="shared" si="75"/>
        <v>0.46019230856504495</v>
      </c>
      <c r="D195" s="172">
        <f t="shared" si="76"/>
        <v>0.07769954879281718</v>
      </c>
      <c r="E195" s="171">
        <f t="shared" si="86"/>
        <v>49.63601581883765</v>
      </c>
      <c r="F195" s="171"/>
      <c r="G195" s="171">
        <f aca="true" t="shared" si="94" ref="G195:G258">E195*b*Solution_interval</f>
        <v>0.14829007905956845</v>
      </c>
      <c r="H195" s="171">
        <f aca="true" t="shared" si="95" ref="H195:H258">b*(B195+C195+(1-v)*e*D195)*Solution_interval</f>
        <v>0.14818422719269828</v>
      </c>
      <c r="I195" s="91">
        <f t="shared" si="82"/>
        <v>0.10970604559366008</v>
      </c>
      <c r="J195" s="91">
        <f t="shared" si="84"/>
        <v>29.745695056150083</v>
      </c>
      <c r="K195" s="172">
        <f t="shared" si="77"/>
        <v>0.013570464876218612</v>
      </c>
      <c r="L195" s="177">
        <f t="shared" si="87"/>
        <v>3.355521085895293</v>
      </c>
      <c r="M195" s="178">
        <f t="shared" si="88"/>
        <v>0.04656350930395278</v>
      </c>
      <c r="N195" s="403">
        <f aca="true" t="shared" si="96" ref="N195:N258">IF(ROUND(A195,1)=t0,0.01,0)</f>
        <v>0</v>
      </c>
      <c r="O195" s="177">
        <f t="shared" si="78"/>
        <v>0.0021099630790127294</v>
      </c>
      <c r="P195" s="174">
        <f t="shared" si="85"/>
        <v>0.0003355521085895293</v>
      </c>
      <c r="Q195" s="179">
        <f t="shared" si="89"/>
        <v>0.0015653864942828265</v>
      </c>
      <c r="R195" s="179">
        <f t="shared" si="90"/>
        <v>0.010836725077231596</v>
      </c>
      <c r="S195" s="180">
        <f t="shared" si="91"/>
        <v>0.1444519892427434</v>
      </c>
      <c r="T195" s="179">
        <f t="shared" si="92"/>
        <v>0.9891632749227683</v>
      </c>
      <c r="U195" s="181">
        <f t="shared" si="93"/>
        <v>0.15653864942828263</v>
      </c>
    </row>
    <row r="196" spans="1:21" ht="12.75">
      <c r="A196" s="91">
        <f t="shared" si="79"/>
        <v>1999.2999999999824</v>
      </c>
      <c r="B196" s="171">
        <f aca="true" t="shared" si="97" ref="B196:B259">MAX(0,B195+(1-K196)*I196-B195*mu*Solution_interval)</f>
        <v>49.00060843008733</v>
      </c>
      <c r="C196" s="171">
        <f aca="true" t="shared" si="98" ref="C196:C259">MAX(0,C195+K196*I196-(mu+M195+N195)*C195*Solution_interval)</f>
        <v>0.45761609003132214</v>
      </c>
      <c r="D196" s="172">
        <f aca="true" t="shared" si="99" ref="D196:D259">MAX(0,D195-P195+((M195+N195)*C195-mu*D195)*Solution_interval)</f>
        <v>0.07918169324974758</v>
      </c>
      <c r="E196" s="171">
        <f t="shared" si="86"/>
        <v>49.537406213368406</v>
      </c>
      <c r="F196" s="171"/>
      <c r="G196" s="171">
        <f t="shared" si="94"/>
        <v>0.14799547793274878</v>
      </c>
      <c r="H196" s="171">
        <f t="shared" si="95"/>
        <v>0.14788760690669206</v>
      </c>
      <c r="I196" s="91">
        <f t="shared" si="82"/>
        <v>0.1094192669887218</v>
      </c>
      <c r="J196" s="91">
        <f t="shared" si="84"/>
        <v>29.745695056150083</v>
      </c>
      <c r="K196" s="172">
        <f aca="true" t="shared" si="100" ref="K196:K259">EXP(phi*((B195/E195)-(1-fo)))/(EXP(phi*((B195/E195)-(1-fo)))+1/fo-1)</f>
        <v>0.013637392077891297</v>
      </c>
      <c r="L196" s="177">
        <f t="shared" si="87"/>
        <v>3.430845664355314</v>
      </c>
      <c r="M196" s="178">
        <f t="shared" si="88"/>
        <v>0.04754618139051843</v>
      </c>
      <c r="N196" s="403">
        <f t="shared" si="96"/>
        <v>0</v>
      </c>
      <c r="O196" s="177">
        <f aca="true" t="shared" si="101" ref="O196:O259">(M195+N195)*C195*Solution_interval</f>
        <v>0.002142816884147598</v>
      </c>
      <c r="P196" s="174">
        <f t="shared" si="85"/>
        <v>0.0003430845664355314</v>
      </c>
      <c r="Q196" s="179">
        <f t="shared" si="89"/>
        <v>0.0015984222691978415</v>
      </c>
      <c r="R196" s="179">
        <f t="shared" si="90"/>
        <v>0.010836210942675615</v>
      </c>
      <c r="S196" s="180">
        <f t="shared" si="91"/>
        <v>0.14750748925557258</v>
      </c>
      <c r="T196" s="179">
        <f t="shared" si="92"/>
        <v>0.9891637890573243</v>
      </c>
      <c r="U196" s="181">
        <f t="shared" si="93"/>
        <v>0.15984222691978414</v>
      </c>
    </row>
    <row r="197" spans="1:21" ht="12.75">
      <c r="A197" s="91">
        <f aca="true" t="shared" si="102" ref="A197:A260">0.1+A196</f>
        <v>1999.3999999999824</v>
      </c>
      <c r="B197" s="171">
        <f t="shared" si="97"/>
        <v>48.90321188916148</v>
      </c>
      <c r="C197" s="171">
        <f t="shared" si="98"/>
        <v>0.45502135305974156</v>
      </c>
      <c r="D197" s="172">
        <f t="shared" si="99"/>
        <v>0.08068307635002456</v>
      </c>
      <c r="E197" s="171">
        <f t="shared" si="86"/>
        <v>49.43891631857125</v>
      </c>
      <c r="F197" s="171"/>
      <c r="G197" s="171">
        <f t="shared" si="94"/>
        <v>0.14770123444754754</v>
      </c>
      <c r="H197" s="171">
        <f t="shared" si="95"/>
        <v>0.14759131805306178</v>
      </c>
      <c r="I197" s="91">
        <f t="shared" si="82"/>
        <v>0.10913389528564776</v>
      </c>
      <c r="J197" s="91">
        <f t="shared" si="84"/>
        <v>29.745695056150083</v>
      </c>
      <c r="K197" s="172">
        <f t="shared" si="100"/>
        <v>0.013706723658480168</v>
      </c>
      <c r="L197" s="177">
        <f t="shared" si="87"/>
        <v>3.50765410889945</v>
      </c>
      <c r="M197" s="178">
        <f t="shared" si="88"/>
        <v>0.04854423122535916</v>
      </c>
      <c r="N197" s="403">
        <f t="shared" si="96"/>
        <v>0</v>
      </c>
      <c r="O197" s="177">
        <f t="shared" si="101"/>
        <v>0.0021757897623849057</v>
      </c>
      <c r="P197" s="174">
        <f t="shared" si="85"/>
        <v>0.000350765410889945</v>
      </c>
      <c r="Q197" s="179">
        <f t="shared" si="89"/>
        <v>0.00163197501802273</v>
      </c>
      <c r="R197" s="179">
        <f t="shared" si="90"/>
        <v>0.010835683087344169</v>
      </c>
      <c r="S197" s="180">
        <f t="shared" si="91"/>
        <v>0.15061118019673717</v>
      </c>
      <c r="T197" s="179">
        <f t="shared" si="92"/>
        <v>0.9891643169126558</v>
      </c>
      <c r="U197" s="181">
        <f t="shared" si="93"/>
        <v>0.163197501802273</v>
      </c>
    </row>
    <row r="198" spans="1:21" ht="12.75">
      <c r="A198" s="91">
        <f t="shared" si="102"/>
        <v>1999.4999999999823</v>
      </c>
      <c r="B198" s="171">
        <f t="shared" si="97"/>
        <v>48.80593502153668</v>
      </c>
      <c r="C198" s="171">
        <f t="shared" si="98"/>
        <v>0.452408292094957</v>
      </c>
      <c r="D198" s="172">
        <f t="shared" si="99"/>
        <v>0.08220357274318378</v>
      </c>
      <c r="E198" s="171">
        <f t="shared" si="86"/>
        <v>49.340546886374824</v>
      </c>
      <c r="F198" s="171"/>
      <c r="G198" s="171">
        <f t="shared" si="94"/>
        <v>0.1474073508503891</v>
      </c>
      <c r="H198" s="171">
        <f t="shared" si="95"/>
        <v>0.14729536304899962</v>
      </c>
      <c r="I198" s="91">
        <f t="shared" si="82"/>
        <v>0.10884992480642249</v>
      </c>
      <c r="J198" s="91">
        <f t="shared" si="84"/>
        <v>29.745695056150083</v>
      </c>
      <c r="K198" s="172">
        <f t="shared" si="100"/>
        <v>0.013778267106269176</v>
      </c>
      <c r="L198" s="177">
        <f t="shared" si="87"/>
        <v>3.5859692792304854</v>
      </c>
      <c r="M198" s="178">
        <f t="shared" si="88"/>
        <v>0.04955766730708912</v>
      </c>
      <c r="N198" s="403">
        <f t="shared" si="96"/>
        <v>0</v>
      </c>
      <c r="O198" s="177">
        <f t="shared" si="101"/>
        <v>0.0022088661775407884</v>
      </c>
      <c r="P198" s="174">
        <f t="shared" si="85"/>
        <v>0.00035859692792304855</v>
      </c>
      <c r="Q198" s="179">
        <f t="shared" si="89"/>
        <v>0.0016660450264665376</v>
      </c>
      <c r="R198" s="179">
        <f t="shared" si="90"/>
        <v>0.010835142668144431</v>
      </c>
      <c r="S198" s="180">
        <f t="shared" si="91"/>
        <v>0.1537630908511014</v>
      </c>
      <c r="T198" s="179">
        <f t="shared" si="92"/>
        <v>0.9891648573318556</v>
      </c>
      <c r="U198" s="181">
        <f t="shared" si="93"/>
        <v>0.16660450264665377</v>
      </c>
    </row>
    <row r="199" spans="1:21" ht="12.75">
      <c r="A199" s="91">
        <f t="shared" si="102"/>
        <v>1999.5999999999822</v>
      </c>
      <c r="B199" s="171">
        <f t="shared" si="97"/>
        <v>48.708778488359236</v>
      </c>
      <c r="C199" s="171">
        <f t="shared" si="98"/>
        <v>0.44977710102106405</v>
      </c>
      <c r="D199" s="172">
        <f t="shared" si="99"/>
        <v>0.08374303915034377</v>
      </c>
      <c r="E199" s="171">
        <f t="shared" si="86"/>
        <v>49.24229862853064</v>
      </c>
      <c r="F199" s="171"/>
      <c r="G199" s="171">
        <f t="shared" si="94"/>
        <v>0.14711382926766675</v>
      </c>
      <c r="H199" s="171">
        <f t="shared" si="95"/>
        <v>0.14699974421609094</v>
      </c>
      <c r="I199" s="91">
        <f t="shared" si="82"/>
        <v>0.10856732080619755</v>
      </c>
      <c r="J199" s="91">
        <f t="shared" si="84"/>
        <v>29.745695056150083</v>
      </c>
      <c r="K199" s="172">
        <f t="shared" si="100"/>
        <v>0.013851894859521376</v>
      </c>
      <c r="L199" s="177">
        <f t="shared" si="87"/>
        <v>3.665813018811923</v>
      </c>
      <c r="M199" s="178">
        <f t="shared" si="88"/>
        <v>0.050586487126295494</v>
      </c>
      <c r="N199" s="403">
        <f t="shared" si="96"/>
        <v>0</v>
      </c>
      <c r="O199" s="177">
        <f t="shared" si="101"/>
        <v>0.0022420299626610273</v>
      </c>
      <c r="P199" s="174">
        <f t="shared" si="85"/>
        <v>0.0003665813018811923</v>
      </c>
      <c r="Q199" s="179">
        <f t="shared" si="89"/>
        <v>0.0017006322101670462</v>
      </c>
      <c r="R199" s="179">
        <f t="shared" si="90"/>
        <v>0.010834590484821317</v>
      </c>
      <c r="S199" s="180">
        <f t="shared" si="91"/>
        <v>0.15696322002659366</v>
      </c>
      <c r="T199" s="179">
        <f t="shared" si="92"/>
        <v>0.9891654095151787</v>
      </c>
      <c r="U199" s="181">
        <f t="shared" si="93"/>
        <v>0.17006322101670462</v>
      </c>
    </row>
    <row r="200" spans="1:21" ht="12.75">
      <c r="A200" s="91">
        <f t="shared" si="102"/>
        <v>1999.699999999982</v>
      </c>
      <c r="B200" s="171">
        <f t="shared" si="97"/>
        <v>48.61174301001512</v>
      </c>
      <c r="C200" s="171">
        <f t="shared" si="98"/>
        <v>0.4471279801843269</v>
      </c>
      <c r="D200" s="172">
        <f t="shared" si="99"/>
        <v>0.08530131394310722</v>
      </c>
      <c r="E200" s="171">
        <f t="shared" si="86"/>
        <v>49.14417230414255</v>
      </c>
      <c r="F200" s="171"/>
      <c r="G200" s="171">
        <f t="shared" si="94"/>
        <v>0.1468206719672411</v>
      </c>
      <c r="H200" s="171">
        <f t="shared" si="95"/>
        <v>0.14670446404238643</v>
      </c>
      <c r="I200" s="91">
        <f t="shared" si="82"/>
        <v>0.10828613579985343</v>
      </c>
      <c r="J200" s="91">
        <f t="shared" si="84"/>
        <v>29.745695056150083</v>
      </c>
      <c r="K200" s="172">
        <f t="shared" si="100"/>
        <v>0.013927526045537807</v>
      </c>
      <c r="L200" s="177">
        <f t="shared" si="87"/>
        <v>3.747207407587282</v>
      </c>
      <c r="M200" s="178">
        <f t="shared" si="88"/>
        <v>0.05163067671050608</v>
      </c>
      <c r="N200" s="403">
        <f t="shared" si="96"/>
        <v>0</v>
      </c>
      <c r="O200" s="177">
        <f t="shared" si="101"/>
        <v>0.0022752643530504564</v>
      </c>
      <c r="P200" s="174">
        <f t="shared" si="85"/>
        <v>0.0003747207407587282</v>
      </c>
      <c r="Q200" s="179">
        <f t="shared" si="89"/>
        <v>0.0017357360993933526</v>
      </c>
      <c r="R200" s="179">
        <f t="shared" si="90"/>
        <v>0.010834027091398456</v>
      </c>
      <c r="S200" s="180">
        <f t="shared" si="91"/>
        <v>0.16021153397072627</v>
      </c>
      <c r="T200" s="179">
        <f t="shared" si="92"/>
        <v>0.9891659729086015</v>
      </c>
      <c r="U200" s="181">
        <f t="shared" si="93"/>
        <v>0.17357360993933527</v>
      </c>
    </row>
    <row r="201" spans="1:21" ht="12.75">
      <c r="A201" s="91">
        <f t="shared" si="102"/>
        <v>1999.799999999982</v>
      </c>
      <c r="B201" s="171">
        <f t="shared" si="97"/>
        <v>48.514829276337174</v>
      </c>
      <c r="C201" s="171">
        <f t="shared" si="98"/>
        <v>0.4444611393377018</v>
      </c>
      <c r="D201" s="172">
        <f t="shared" si="99"/>
        <v>0.0868782166319913</v>
      </c>
      <c r="E201" s="171">
        <f t="shared" si="86"/>
        <v>49.04616863230687</v>
      </c>
      <c r="F201" s="171"/>
      <c r="G201" s="171">
        <f t="shared" si="94"/>
        <v>0.1465278810974484</v>
      </c>
      <c r="H201" s="171">
        <f t="shared" si="95"/>
        <v>0.14640952492210732</v>
      </c>
      <c r="I201" s="91">
        <f t="shared" si="82"/>
        <v>0.10800633516419905</v>
      </c>
      <c r="J201" s="91">
        <f t="shared" si="84"/>
        <v>29.745695056150083</v>
      </c>
      <c r="K201" s="172">
        <f t="shared" si="100"/>
        <v>0.01400511222787876</v>
      </c>
      <c r="L201" s="177">
        <f t="shared" si="87"/>
        <v>3.830174189775107</v>
      </c>
      <c r="M201" s="178">
        <f t="shared" si="88"/>
        <v>0.052690210285969284</v>
      </c>
      <c r="N201" s="403">
        <f t="shared" si="96"/>
        <v>0</v>
      </c>
      <c r="O201" s="177">
        <f t="shared" si="101"/>
        <v>0.0023085520193118552</v>
      </c>
      <c r="P201" s="174">
        <f aca="true" t="shared" si="103" ref="P201:P264">O190*$Y$6+O179*$Y$7+O168*$Y$8+O157*$Y$9+O146*$Y$10+O135*$Y$11+O124*$Y$12+O113*$Y$13+O102*$Y$14+O91*$Y$15+O80*$Y$16+O69*$Y$17+O58*$Y$18+O47*$Y$19+O36*$N$20</f>
        <v>0.0003830174189775107</v>
      </c>
      <c r="Q201" s="179">
        <f t="shared" si="89"/>
        <v>0.001771355827675484</v>
      </c>
      <c r="R201" s="179">
        <f t="shared" si="90"/>
        <v>0.010833452862609498</v>
      </c>
      <c r="S201" s="180">
        <f t="shared" si="91"/>
        <v>0.16350796464801437</v>
      </c>
      <c r="T201" s="179">
        <f t="shared" si="92"/>
        <v>0.9891665471373904</v>
      </c>
      <c r="U201" s="181">
        <f t="shared" si="93"/>
        <v>0.1771355827675484</v>
      </c>
    </row>
    <row r="202" spans="1:21" ht="12.75">
      <c r="A202" s="91">
        <f t="shared" si="102"/>
        <v>1999.899999999982</v>
      </c>
      <c r="B202" s="171">
        <f t="shared" si="97"/>
        <v>48.41803797269082</v>
      </c>
      <c r="C202" s="171">
        <f t="shared" si="98"/>
        <v>0.441776801200682</v>
      </c>
      <c r="D202" s="172">
        <f t="shared" si="99"/>
        <v>0.08847354743643764</v>
      </c>
      <c r="E202" s="171">
        <f t="shared" si="86"/>
        <v>48.94828832132794</v>
      </c>
      <c r="F202" s="171"/>
      <c r="G202" s="171">
        <f t="shared" si="94"/>
        <v>0.1462354587743833</v>
      </c>
      <c r="H202" s="171">
        <f t="shared" si="95"/>
        <v>0.14611492924351374</v>
      </c>
      <c r="I202" s="91">
        <f t="shared" si="82"/>
        <v>0.10772791329061623</v>
      </c>
      <c r="J202" s="91">
        <f t="shared" si="84"/>
        <v>29.745695056150083</v>
      </c>
      <c r="K202" s="172">
        <f t="shared" si="100"/>
        <v>0.014084628994397528</v>
      </c>
      <c r="L202" s="177">
        <f t="shared" si="87"/>
        <v>3.914734812069559</v>
      </c>
      <c r="M202" s="178">
        <f t="shared" si="88"/>
        <v>0.053765049868626465</v>
      </c>
      <c r="N202" s="403">
        <f t="shared" si="96"/>
        <v>0</v>
      </c>
      <c r="O202" s="177">
        <f t="shared" si="101"/>
        <v>0.0023418750895645006</v>
      </c>
      <c r="P202" s="174">
        <f t="shared" si="103"/>
        <v>0.0003914734812069559</v>
      </c>
      <c r="Q202" s="179">
        <f t="shared" si="89"/>
        <v>0.0018074901180535786</v>
      </c>
      <c r="R202" s="179">
        <f t="shared" si="90"/>
        <v>0.010832868049567259</v>
      </c>
      <c r="S202" s="180">
        <f t="shared" si="91"/>
        <v>0.16685240785571856</v>
      </c>
      <c r="T202" s="179">
        <f t="shared" si="92"/>
        <v>0.9891671319504328</v>
      </c>
      <c r="U202" s="181">
        <f t="shared" si="93"/>
        <v>0.18074901180535785</v>
      </c>
    </row>
    <row r="203" spans="1:23" ht="12.75">
      <c r="A203" s="91">
        <f t="shared" si="102"/>
        <v>1999.9999999999818</v>
      </c>
      <c r="B203" s="171">
        <f t="shared" si="97"/>
        <v>48.32136977818308</v>
      </c>
      <c r="C203" s="171">
        <f t="shared" si="98"/>
        <v>0.43907520377710446</v>
      </c>
      <c r="D203" s="172">
        <f t="shared" si="99"/>
        <v>0.0900870868780929</v>
      </c>
      <c r="E203" s="171">
        <f t="shared" si="86"/>
        <v>48.850532068838284</v>
      </c>
      <c r="F203" s="171"/>
      <c r="G203" s="171">
        <f t="shared" si="94"/>
        <v>0.14594340708225784</v>
      </c>
      <c r="H203" s="171">
        <f t="shared" si="95"/>
        <v>0.14582067938981821</v>
      </c>
      <c r="I203" s="91">
        <f t="shared" si="82"/>
        <v>0.10745086461572492</v>
      </c>
      <c r="J203" s="91">
        <f t="shared" si="84"/>
        <v>29.745695056150083</v>
      </c>
      <c r="K203" s="172">
        <f t="shared" si="100"/>
        <v>0.014166068803598927</v>
      </c>
      <c r="L203" s="177">
        <f t="shared" si="87"/>
        <v>4.000910448191164</v>
      </c>
      <c r="M203" s="178">
        <f t="shared" si="88"/>
        <v>0.0548551448937448</v>
      </c>
      <c r="N203" s="403">
        <f t="shared" si="96"/>
        <v>0</v>
      </c>
      <c r="O203" s="177">
        <f t="shared" si="101"/>
        <v>0.002375215174735695</v>
      </c>
      <c r="P203" s="174">
        <f t="shared" si="103"/>
        <v>0.0004000910448191164</v>
      </c>
      <c r="Q203" s="179">
        <f t="shared" si="89"/>
        <v>0.0018441372706267693</v>
      </c>
      <c r="R203" s="179">
        <f t="shared" si="90"/>
        <v>0.010832272817612761</v>
      </c>
      <c r="S203" s="180">
        <f t="shared" si="91"/>
        <v>0.17024472164588486</v>
      </c>
      <c r="T203" s="179">
        <f t="shared" si="92"/>
        <v>0.9891677271823872</v>
      </c>
      <c r="U203" s="181">
        <f t="shared" si="93"/>
        <v>0.18441372706267692</v>
      </c>
      <c r="V203">
        <f>IF(ISNUMBER('Set-up'!$N$27)=FALSE,"",('Set-up'!$N$27-'EPP model'!U203)^2)</f>
      </c>
      <c r="W203" t="e">
        <f>IF(ISNUMBER('Set-up'!$N$27)=FALSE,NA()=FALSE,('Set-up'!$N$27))</f>
        <v>#N/A</v>
      </c>
    </row>
    <row r="204" spans="1:21" ht="12.75">
      <c r="A204" s="91">
        <f t="shared" si="102"/>
        <v>2000.0999999999817</v>
      </c>
      <c r="B204" s="171">
        <f t="shared" si="97"/>
        <v>48.22482536440233</v>
      </c>
      <c r="C204" s="171">
        <f t="shared" si="98"/>
        <v>0.43635660209354005</v>
      </c>
      <c r="D204" s="172">
        <f t="shared" si="99"/>
        <v>0.09171859539701983</v>
      </c>
      <c r="E204" s="171">
        <f t="shared" si="86"/>
        <v>48.752900561892886</v>
      </c>
      <c r="F204" s="171"/>
      <c r="G204" s="171">
        <f t="shared" si="94"/>
        <v>0.1456517280736831</v>
      </c>
      <c r="H204" s="171">
        <f t="shared" si="95"/>
        <v>0.14552677773998976</v>
      </c>
      <c r="I204" s="91">
        <f t="shared" si="82"/>
        <v>0.10717518359849562</v>
      </c>
      <c r="J204" s="91">
        <f t="shared" si="84"/>
        <v>29.745695056150083</v>
      </c>
      <c r="K204" s="172">
        <f t="shared" si="100"/>
        <v>0.014249436113842169</v>
      </c>
      <c r="L204" s="177">
        <f t="shared" si="87"/>
        <v>4.072040092994223</v>
      </c>
      <c r="M204" s="178">
        <f t="shared" si="88"/>
        <v>0.05596043185563103</v>
      </c>
      <c r="N204" s="403">
        <f t="shared" si="96"/>
        <v>0</v>
      </c>
      <c r="O204" s="177">
        <f t="shared" si="101"/>
        <v>0.0024085533922443593</v>
      </c>
      <c r="P204" s="174">
        <f t="shared" si="103"/>
        <v>0.00040720400929942233</v>
      </c>
      <c r="Q204" s="179">
        <f t="shared" si="89"/>
        <v>0.0018812951504409681</v>
      </c>
      <c r="R204" s="179">
        <f t="shared" si="90"/>
        <v>0.01083166727321499</v>
      </c>
      <c r="S204" s="180">
        <f t="shared" si="91"/>
        <v>0.17368472488931738</v>
      </c>
      <c r="T204" s="179">
        <f t="shared" si="92"/>
        <v>0.9891683327267851</v>
      </c>
      <c r="U204" s="181">
        <f t="shared" si="93"/>
        <v>0.1881295150440968</v>
      </c>
    </row>
    <row r="205" spans="1:21" ht="12.75">
      <c r="A205" s="91">
        <f t="shared" si="102"/>
        <v>2000.1999999999816</v>
      </c>
      <c r="B205" s="171">
        <f t="shared" si="97"/>
        <v>48.12840539455144</v>
      </c>
      <c r="C205" s="171">
        <f t="shared" si="98"/>
        <v>0.433621269518436</v>
      </c>
      <c r="D205" s="172">
        <f t="shared" si="99"/>
        <v>0.0933694811837234</v>
      </c>
      <c r="E205" s="171">
        <f t="shared" si="86"/>
        <v>48.6553961452536</v>
      </c>
      <c r="F205" s="171"/>
      <c r="G205" s="171">
        <f t="shared" si="94"/>
        <v>0.1453604287537524</v>
      </c>
      <c r="H205" s="171">
        <f t="shared" si="95"/>
        <v>0.14523322938071165</v>
      </c>
      <c r="I205" s="91">
        <f t="shared" si="82"/>
        <v>0.10690086472012307</v>
      </c>
      <c r="J205" s="91">
        <f t="shared" si="84"/>
        <v>29.745695056150083</v>
      </c>
      <c r="K205" s="172">
        <f t="shared" si="100"/>
        <v>0.014334743906354782</v>
      </c>
      <c r="L205" s="177">
        <f t="shared" si="87"/>
        <v>4.16061865830669</v>
      </c>
      <c r="M205" s="178">
        <f t="shared" si="88"/>
        <v>0.05708185185771862</v>
      </c>
      <c r="N205" s="403">
        <f t="shared" si="96"/>
        <v>0</v>
      </c>
      <c r="O205" s="177">
        <f t="shared" si="101"/>
        <v>0.002441870389621025</v>
      </c>
      <c r="P205" s="174">
        <f t="shared" si="103"/>
        <v>0.000416061865830669</v>
      </c>
      <c r="Q205" s="179">
        <f t="shared" si="89"/>
        <v>0.0019189953958032202</v>
      </c>
      <c r="R205" s="179">
        <f t="shared" si="90"/>
        <v>0.010831085397576566</v>
      </c>
      <c r="S205" s="180">
        <f t="shared" si="91"/>
        <v>0.17717480061902122</v>
      </c>
      <c r="T205" s="179">
        <f t="shared" si="92"/>
        <v>0.9891689146024235</v>
      </c>
      <c r="U205" s="181">
        <f t="shared" si="93"/>
        <v>0.19189953958032202</v>
      </c>
    </row>
    <row r="206" spans="1:21" ht="12.75">
      <c r="A206" s="91">
        <f t="shared" si="102"/>
        <v>2000.2999999999815</v>
      </c>
      <c r="B206" s="171">
        <f t="shared" si="97"/>
        <v>48.032111036788116</v>
      </c>
      <c r="C206" s="171">
        <f t="shared" si="98"/>
        <v>0.43086894070978793</v>
      </c>
      <c r="D206" s="172">
        <f t="shared" si="99"/>
        <v>0.09503792138523127</v>
      </c>
      <c r="E206" s="171">
        <f t="shared" si="86"/>
        <v>48.558017898883136</v>
      </c>
      <c r="F206" s="171"/>
      <c r="G206" s="171">
        <f t="shared" si="94"/>
        <v>0.14506950637380833</v>
      </c>
      <c r="H206" s="171">
        <f t="shared" si="95"/>
        <v>0.1449400340466406</v>
      </c>
      <c r="I206" s="91">
        <f t="shared" si="82"/>
        <v>0.10662790248390355</v>
      </c>
      <c r="J206" s="91">
        <f t="shared" si="84"/>
        <v>29.745695056150083</v>
      </c>
      <c r="K206" s="172">
        <f t="shared" si="100"/>
        <v>0.014417191383798336</v>
      </c>
      <c r="L206" s="177">
        <f t="shared" si="87"/>
        <v>4.250941480000063</v>
      </c>
      <c r="M206" s="178">
        <f t="shared" si="88"/>
        <v>0.05821837773902373</v>
      </c>
      <c r="N206" s="403">
        <f t="shared" si="96"/>
        <v>0</v>
      </c>
      <c r="O206" s="177">
        <f t="shared" si="101"/>
        <v>0.0024751905069007245</v>
      </c>
      <c r="P206" s="174">
        <f t="shared" si="103"/>
        <v>0.0004250941480000063</v>
      </c>
      <c r="Q206" s="179">
        <f t="shared" si="89"/>
        <v>0.001957203475297067</v>
      </c>
      <c r="R206" s="179">
        <f t="shared" si="90"/>
        <v>0.010830484538931632</v>
      </c>
      <c r="S206" s="180">
        <f t="shared" si="91"/>
        <v>0.18071245734774252</v>
      </c>
      <c r="T206" s="179">
        <f t="shared" si="92"/>
        <v>0.9891695154610683</v>
      </c>
      <c r="U206" s="181">
        <f t="shared" si="93"/>
        <v>0.1957203475297067</v>
      </c>
    </row>
    <row r="207" spans="1:21" ht="12.75">
      <c r="A207" s="91">
        <f t="shared" si="102"/>
        <v>2000.3999999999814</v>
      </c>
      <c r="B207" s="171">
        <f t="shared" si="97"/>
        <v>47.93594280387047</v>
      </c>
      <c r="C207" s="171">
        <f t="shared" si="98"/>
        <v>0.42810006114219956</v>
      </c>
      <c r="D207" s="172">
        <f t="shared" si="99"/>
        <v>0.09672360657293892</v>
      </c>
      <c r="E207" s="171">
        <f t="shared" si="86"/>
        <v>48.46076647158561</v>
      </c>
      <c r="F207" s="171"/>
      <c r="G207" s="171">
        <f t="shared" si="94"/>
        <v>0.14477896287218558</v>
      </c>
      <c r="H207" s="171">
        <f t="shared" si="95"/>
        <v>0.14464719409765306</v>
      </c>
      <c r="I207" s="91">
        <f t="shared" si="82"/>
        <v>0.10635629141511223</v>
      </c>
      <c r="J207" s="91">
        <f t="shared" si="84"/>
        <v>29.745695056150083</v>
      </c>
      <c r="K207" s="172">
        <f t="shared" si="100"/>
        <v>0.01450281898252612</v>
      </c>
      <c r="L207" s="177">
        <f t="shared" si="87"/>
        <v>4.342920194217157</v>
      </c>
      <c r="M207" s="178">
        <f t="shared" si="88"/>
        <v>0.05936990095971005</v>
      </c>
      <c r="N207" s="403">
        <f t="shared" si="96"/>
        <v>0</v>
      </c>
      <c r="O207" s="177">
        <f t="shared" si="101"/>
        <v>0.0025084490746255456</v>
      </c>
      <c r="P207" s="174">
        <f t="shared" si="103"/>
        <v>0.0004342920194217157</v>
      </c>
      <c r="Q207" s="179">
        <f t="shared" si="89"/>
        <v>0.001995915739996635</v>
      </c>
      <c r="R207" s="179">
        <f t="shared" si="90"/>
        <v>0.010829867249888887</v>
      </c>
      <c r="S207" s="180">
        <f t="shared" si="91"/>
        <v>0.18429734122706934</v>
      </c>
      <c r="T207" s="179">
        <f t="shared" si="92"/>
        <v>0.9891701327501111</v>
      </c>
      <c r="U207" s="181">
        <f t="shared" si="93"/>
        <v>0.1995915739996635</v>
      </c>
    </row>
    <row r="208" spans="1:21" ht="12.75">
      <c r="A208" s="91">
        <f t="shared" si="102"/>
        <v>2000.4999999999814</v>
      </c>
      <c r="B208" s="171">
        <f t="shared" si="97"/>
        <v>47.839901236894605</v>
      </c>
      <c r="C208" s="171">
        <f t="shared" si="98"/>
        <v>0.4253150587595862</v>
      </c>
      <c r="D208" s="172">
        <f t="shared" si="99"/>
        <v>0.09842621717966835</v>
      </c>
      <c r="E208" s="171">
        <f t="shared" si="86"/>
        <v>48.36364251283386</v>
      </c>
      <c r="F208" s="171"/>
      <c r="G208" s="171">
        <f t="shared" si="94"/>
        <v>0.1444888001892168</v>
      </c>
      <c r="H208" s="171">
        <f t="shared" si="95"/>
        <v>0.1443547119094352</v>
      </c>
      <c r="I208" s="91">
        <f t="shared" si="82"/>
        <v>0.10608602606088013</v>
      </c>
      <c r="J208" s="91">
        <f t="shared" si="84"/>
        <v>29.745695056150083</v>
      </c>
      <c r="K208" s="172">
        <f t="shared" si="100"/>
        <v>0.014591309859265721</v>
      </c>
      <c r="L208" s="177">
        <f t="shared" si="87"/>
        <v>4.436576162663666</v>
      </c>
      <c r="M208" s="178">
        <f t="shared" si="88"/>
        <v>0.06053630557251556</v>
      </c>
      <c r="N208" s="403">
        <f t="shared" si="96"/>
        <v>0</v>
      </c>
      <c r="O208" s="177">
        <f t="shared" si="101"/>
        <v>0.0025416258230858205</v>
      </c>
      <c r="P208" s="174">
        <f t="shared" si="103"/>
        <v>0.00044365761626636663</v>
      </c>
      <c r="Q208" s="179">
        <f t="shared" si="89"/>
        <v>0.002035128291950917</v>
      </c>
      <c r="R208" s="179">
        <f t="shared" si="90"/>
        <v>0.01082923553163461</v>
      </c>
      <c r="S208" s="180">
        <f t="shared" si="91"/>
        <v>0.18792908197497915</v>
      </c>
      <c r="T208" s="179">
        <f t="shared" si="92"/>
        <v>0.9891707644683653</v>
      </c>
      <c r="U208" s="181">
        <f t="shared" si="93"/>
        <v>0.20351282919509173</v>
      </c>
    </row>
    <row r="209" spans="1:21" ht="12.75">
      <c r="A209" s="91">
        <f t="shared" si="102"/>
        <v>2000.5999999999813</v>
      </c>
      <c r="B209" s="171">
        <f t="shared" si="97"/>
        <v>47.74398689713288</v>
      </c>
      <c r="C209" s="171">
        <f t="shared" si="98"/>
        <v>0.42251435235981366</v>
      </c>
      <c r="D209" s="172">
        <f t="shared" si="99"/>
        <v>0.10014541232312926</v>
      </c>
      <c r="E209" s="171">
        <f t="shared" si="86"/>
        <v>48.26664666181582</v>
      </c>
      <c r="F209" s="171"/>
      <c r="G209" s="171">
        <f t="shared" si="94"/>
        <v>0.14419902023450787</v>
      </c>
      <c r="H209" s="171">
        <f t="shared" si="95"/>
        <v>0.14406258985598466</v>
      </c>
      <c r="I209" s="91">
        <f t="shared" si="82"/>
        <v>0.10581710099007104</v>
      </c>
      <c r="J209" s="91">
        <f t="shared" si="84"/>
        <v>29.745695056150083</v>
      </c>
      <c r="K209" s="172">
        <f t="shared" si="100"/>
        <v>0.014682419937402743</v>
      </c>
      <c r="L209" s="177">
        <f t="shared" si="87"/>
        <v>4.531930134569541</v>
      </c>
      <c r="M209" s="178">
        <f t="shared" si="88"/>
        <v>0.06171746127523809</v>
      </c>
      <c r="N209" s="403">
        <f t="shared" si="96"/>
        <v>0</v>
      </c>
      <c r="O209" s="177">
        <f t="shared" si="101"/>
        <v>0.0025747002361662724</v>
      </c>
      <c r="P209" s="174">
        <f t="shared" si="103"/>
        <v>0.0004531930134569541</v>
      </c>
      <c r="Q209" s="179">
        <f t="shared" si="89"/>
        <v>0.0020748367506200757</v>
      </c>
      <c r="R209" s="179">
        <f t="shared" si="90"/>
        <v>0.010828590772941014</v>
      </c>
      <c r="S209" s="180">
        <f t="shared" si="91"/>
        <v>0.19160727320167778</v>
      </c>
      <c r="T209" s="179">
        <f t="shared" si="92"/>
        <v>0.989171409227059</v>
      </c>
      <c r="U209" s="181">
        <f t="shared" si="93"/>
        <v>0.20748367506200757</v>
      </c>
    </row>
    <row r="210" spans="1:21" ht="12.75">
      <c r="A210" s="91">
        <f t="shared" si="102"/>
        <v>2000.6999999999812</v>
      </c>
      <c r="B210" s="171">
        <f t="shared" si="97"/>
        <v>47.64820032104888</v>
      </c>
      <c r="C210" s="171">
        <f t="shared" si="98"/>
        <v>0.4196983606726995</v>
      </c>
      <c r="D210" s="172">
        <f t="shared" si="99"/>
        <v>0.10188082947660437</v>
      </c>
      <c r="E210" s="171">
        <f t="shared" si="86"/>
        <v>48.169779511198186</v>
      </c>
      <c r="F210" s="171"/>
      <c r="G210" s="171">
        <f t="shared" si="94"/>
        <v>0.14390962477868016</v>
      </c>
      <c r="H210" s="171">
        <f t="shared" si="95"/>
        <v>0.14377083020180126</v>
      </c>
      <c r="I210" s="91">
        <f t="shared" si="82"/>
        <v>0.10554947443096027</v>
      </c>
      <c r="J210" s="91">
        <f t="shared" si="84"/>
        <v>29.745695056150083</v>
      </c>
      <c r="K210" s="172">
        <f t="shared" si="100"/>
        <v>0.014775988652081216</v>
      </c>
      <c r="L210" s="177">
        <f t="shared" si="87"/>
        <v>4.629001367665963</v>
      </c>
      <c r="M210" s="178">
        <f t="shared" si="88"/>
        <v>0.06291322311272333</v>
      </c>
      <c r="N210" s="403">
        <f t="shared" si="96"/>
        <v>0</v>
      </c>
      <c r="O210" s="177">
        <f t="shared" si="101"/>
        <v>0.00260765131799991</v>
      </c>
      <c r="P210" s="174">
        <f t="shared" si="103"/>
        <v>0.0004629001367665963</v>
      </c>
      <c r="Q210" s="179">
        <f t="shared" si="89"/>
        <v>0.0021150362428567853</v>
      </c>
      <c r="R210" s="179">
        <f t="shared" si="90"/>
        <v>0.010827933933723957</v>
      </c>
      <c r="S210" s="180">
        <f t="shared" si="91"/>
        <v>0.19533146912444999</v>
      </c>
      <c r="T210" s="179">
        <f t="shared" si="92"/>
        <v>0.9891720660662761</v>
      </c>
      <c r="U210" s="181">
        <f t="shared" si="93"/>
        <v>0.21150362428567854</v>
      </c>
    </row>
    <row r="211" spans="1:21" ht="12.75">
      <c r="A211" s="91">
        <f t="shared" si="102"/>
        <v>2000.799999999981</v>
      </c>
      <c r="B211" s="171">
        <f t="shared" si="97"/>
        <v>47.55254212145678</v>
      </c>
      <c r="C211" s="171">
        <f t="shared" si="98"/>
        <v>0.4168675107833362</v>
      </c>
      <c r="D211" s="172">
        <f t="shared" si="99"/>
        <v>0.1036320842964514</v>
      </c>
      <c r="E211" s="171">
        <f t="shared" si="86"/>
        <v>48.073041716536565</v>
      </c>
      <c r="F211" s="171"/>
      <c r="G211" s="171">
        <f t="shared" si="94"/>
        <v>0.14362061578023885</v>
      </c>
      <c r="H211" s="171">
        <f t="shared" si="95"/>
        <v>0.14347943542899025</v>
      </c>
      <c r="I211" s="91">
        <f t="shared" si="82"/>
        <v>0.10528321367812386</v>
      </c>
      <c r="J211" s="91">
        <f t="shared" si="84"/>
        <v>29.745695056150083</v>
      </c>
      <c r="K211" s="172">
        <f t="shared" si="100"/>
        <v>0.014871914448446889</v>
      </c>
      <c r="L211" s="177">
        <f t="shared" si="87"/>
        <v>4.72780919397761</v>
      </c>
      <c r="M211" s="178">
        <f t="shared" si="88"/>
        <v>0.06412343108414341</v>
      </c>
      <c r="N211" s="403">
        <f t="shared" si="96"/>
        <v>0</v>
      </c>
      <c r="O211" s="177">
        <f t="shared" si="101"/>
        <v>0.0026404576605045774</v>
      </c>
      <c r="P211" s="174">
        <f t="shared" si="103"/>
        <v>0.00047278091939776095</v>
      </c>
      <c r="Q211" s="179">
        <f t="shared" si="89"/>
        <v>0.002155721389703601</v>
      </c>
      <c r="R211" s="179">
        <f t="shared" si="90"/>
        <v>0.010827265687678377</v>
      </c>
      <c r="S211" s="180">
        <f t="shared" si="91"/>
        <v>0.19910118139585795</v>
      </c>
      <c r="T211" s="179">
        <f t="shared" si="92"/>
        <v>0.9891727343123217</v>
      </c>
      <c r="U211" s="181">
        <f t="shared" si="93"/>
        <v>0.21557213897036012</v>
      </c>
    </row>
    <row r="212" spans="1:21" ht="12.75">
      <c r="A212" s="91">
        <f t="shared" si="102"/>
        <v>2000.899999999981</v>
      </c>
      <c r="B212" s="171">
        <f t="shared" si="97"/>
        <v>47.4570128755974</v>
      </c>
      <c r="C212" s="171">
        <f t="shared" si="98"/>
        <v>0.4140222411374241</v>
      </c>
      <c r="D212" s="172">
        <f t="shared" si="99"/>
        <v>0.10539877036025821</v>
      </c>
      <c r="E212" s="171">
        <f t="shared" si="86"/>
        <v>47.976433887095084</v>
      </c>
      <c r="F212" s="171"/>
      <c r="G212" s="171">
        <f t="shared" si="94"/>
        <v>0.14333199505939095</v>
      </c>
      <c r="H212" s="171">
        <f t="shared" si="95"/>
        <v>0.1431884079114372</v>
      </c>
      <c r="I212" s="91">
        <f t="shared" si="82"/>
        <v>0.10501827711634901</v>
      </c>
      <c r="J212" s="91">
        <f t="shared" si="84"/>
        <v>29.745695056150083</v>
      </c>
      <c r="K212" s="172">
        <f t="shared" si="100"/>
        <v>0.014970135495540215</v>
      </c>
      <c r="L212" s="177">
        <f t="shared" si="87"/>
        <v>4.82837230499464</v>
      </c>
      <c r="M212" s="178">
        <f t="shared" si="88"/>
        <v>0.06534790997195687</v>
      </c>
      <c r="N212" s="403">
        <f t="shared" si="96"/>
        <v>0</v>
      </c>
      <c r="O212" s="177">
        <f t="shared" si="101"/>
        <v>0.0026730975098933673</v>
      </c>
      <c r="P212" s="174">
        <f t="shared" si="103"/>
        <v>0.00048283723049946404</v>
      </c>
      <c r="Q212" s="179">
        <f t="shared" si="89"/>
        <v>0.0021968863006428837</v>
      </c>
      <c r="R212" s="179">
        <f t="shared" si="90"/>
        <v>0.01082658650119884</v>
      </c>
      <c r="S212" s="180">
        <f t="shared" si="91"/>
        <v>0.20291587753902118</v>
      </c>
      <c r="T212" s="179">
        <f t="shared" si="92"/>
        <v>0.9891734134988012</v>
      </c>
      <c r="U212" s="181">
        <f t="shared" si="93"/>
        <v>0.21968863006428838</v>
      </c>
    </row>
    <row r="213" spans="1:23" ht="12.75">
      <c r="A213" s="91">
        <f t="shared" si="102"/>
        <v>2000.999999999981</v>
      </c>
      <c r="B213" s="171">
        <f t="shared" si="97"/>
        <v>47.3616131578391</v>
      </c>
      <c r="C213" s="171">
        <f t="shared" si="98"/>
        <v>0.4111630054658601</v>
      </c>
      <c r="D213" s="172">
        <f t="shared" si="99"/>
        <v>0.10718045902492522</v>
      </c>
      <c r="E213" s="171">
        <f t="shared" si="86"/>
        <v>47.879956622329885</v>
      </c>
      <c r="F213" s="171"/>
      <c r="G213" s="171">
        <f t="shared" si="94"/>
        <v>0.14304376440704167</v>
      </c>
      <c r="H213" s="171">
        <f t="shared" si="95"/>
        <v>0.14289775002399754</v>
      </c>
      <c r="I213" s="91">
        <f t="shared" si="82"/>
        <v>0.10475465935618751</v>
      </c>
      <c r="J213" s="91">
        <f t="shared" si="84"/>
        <v>29.745695056150083</v>
      </c>
      <c r="K213" s="172">
        <f t="shared" si="100"/>
        <v>0.01507061917403949</v>
      </c>
      <c r="L213" s="177">
        <f t="shared" si="87"/>
        <v>4.930708798524073</v>
      </c>
      <c r="M213" s="178">
        <f t="shared" si="88"/>
        <v>0.06658646905805145</v>
      </c>
      <c r="N213" s="403">
        <f t="shared" si="96"/>
        <v>0</v>
      </c>
      <c r="O213" s="177">
        <f t="shared" si="101"/>
        <v>0.002705548814023621</v>
      </c>
      <c r="P213" s="174">
        <f t="shared" si="103"/>
        <v>0.0004930708798524073</v>
      </c>
      <c r="Q213" s="179">
        <f t="shared" si="89"/>
        <v>0.0022385245640539953</v>
      </c>
      <c r="R213" s="179">
        <f t="shared" si="90"/>
        <v>0.010825896702025085</v>
      </c>
      <c r="S213" s="180">
        <f t="shared" si="91"/>
        <v>0.20677497907727665</v>
      </c>
      <c r="T213" s="179">
        <f t="shared" si="92"/>
        <v>0.989174103297975</v>
      </c>
      <c r="U213" s="181">
        <f t="shared" si="93"/>
        <v>0.22385245640539952</v>
      </c>
      <c r="V213">
        <f>IF(ISNUMBER('Set-up'!$N$28)=FALSE,"",('Set-up'!$N$28-'EPP model'!U213)^2)</f>
      </c>
      <c r="W213" t="e">
        <f>IF(ISNUMBER('Set-up'!$N$28)=FALSE,NA()=FALSE,('Set-up'!$N$28))</f>
        <v>#N/A</v>
      </c>
    </row>
    <row r="214" spans="1:21" ht="12.75">
      <c r="A214" s="91">
        <f t="shared" si="102"/>
        <v>2001.0999999999808</v>
      </c>
      <c r="B214" s="171">
        <f t="shared" si="97"/>
        <v>47.26634353763003</v>
      </c>
      <c r="C214" s="171">
        <f t="shared" si="98"/>
        <v>0.4082902750938663</v>
      </c>
      <c r="D214" s="172">
        <f t="shared" si="99"/>
        <v>0.10897669933238652</v>
      </c>
      <c r="E214" s="171">
        <f t="shared" si="86"/>
        <v>47.783610512056285</v>
      </c>
      <c r="F214" s="171"/>
      <c r="G214" s="171">
        <f t="shared" si="94"/>
        <v>0.1427559255852938</v>
      </c>
      <c r="H214" s="171">
        <f t="shared" si="95"/>
        <v>0.1426074641431245</v>
      </c>
      <c r="I214" s="91">
        <f t="shared" si="82"/>
        <v>0.10449235507486439</v>
      </c>
      <c r="J214" s="91">
        <f t="shared" si="84"/>
        <v>29.745695056150083</v>
      </c>
      <c r="K214" s="172">
        <f t="shared" si="100"/>
        <v>0.01517335272449046</v>
      </c>
      <c r="L214" s="177">
        <f t="shared" si="87"/>
        <v>5.034836209348646</v>
      </c>
      <c r="M214" s="178">
        <f t="shared" si="88"/>
        <v>0.06783890191280206</v>
      </c>
      <c r="N214" s="403">
        <f t="shared" si="96"/>
        <v>0</v>
      </c>
      <c r="O214" s="177">
        <f t="shared" si="101"/>
        <v>0.0027377892741267933</v>
      </c>
      <c r="P214" s="174">
        <f t="shared" si="103"/>
        <v>0.0005034836209348646</v>
      </c>
      <c r="Q214" s="179">
        <f t="shared" si="89"/>
        <v>0.0022806292401217902</v>
      </c>
      <c r="R214" s="179">
        <f t="shared" si="90"/>
        <v>0.010825196524145892</v>
      </c>
      <c r="S214" s="180">
        <f t="shared" si="91"/>
        <v>0.21067786021572776</v>
      </c>
      <c r="T214" s="179">
        <f t="shared" si="92"/>
        <v>0.9891748034758541</v>
      </c>
      <c r="U214" s="181">
        <f t="shared" si="93"/>
        <v>0.22806292401217904</v>
      </c>
    </row>
    <row r="215" spans="1:21" ht="12.75">
      <c r="A215" s="91">
        <f t="shared" si="102"/>
        <v>2001.1999999999807</v>
      </c>
      <c r="B215" s="171">
        <f t="shared" si="97"/>
        <v>47.17120457807945</v>
      </c>
      <c r="C215" s="171">
        <f t="shared" si="98"/>
        <v>0.4054045405266637</v>
      </c>
      <c r="D215" s="172">
        <f t="shared" si="99"/>
        <v>0.11078701796025539</v>
      </c>
      <c r="E215" s="171">
        <f t="shared" si="86"/>
        <v>47.68739613656636</v>
      </c>
      <c r="F215" s="171"/>
      <c r="G215" s="171">
        <f t="shared" si="94"/>
        <v>0.14246848032779885</v>
      </c>
      <c r="H215" s="171">
        <f t="shared" si="95"/>
        <v>0.1423175526472876</v>
      </c>
      <c r="I215" s="91">
        <f t="shared" si="82"/>
        <v>0.10423135897065383</v>
      </c>
      <c r="J215" s="91">
        <f t="shared" si="84"/>
        <v>29.745695056150083</v>
      </c>
      <c r="K215" s="172">
        <f t="shared" si="100"/>
        <v>0.015278337116075139</v>
      </c>
      <c r="L215" s="177">
        <f t="shared" si="87"/>
        <v>5.123943991980128</v>
      </c>
      <c r="M215" s="178">
        <f t="shared" si="88"/>
        <v>0.06910498621037228</v>
      </c>
      <c r="N215" s="403">
        <f t="shared" si="96"/>
        <v>0</v>
      </c>
      <c r="O215" s="177">
        <f t="shared" si="101"/>
        <v>0.002769796392404377</v>
      </c>
      <c r="P215" s="174">
        <f t="shared" si="103"/>
        <v>0.0005123943991980128</v>
      </c>
      <c r="Q215" s="179">
        <f t="shared" si="89"/>
        <v>0.002323192854627361</v>
      </c>
      <c r="R215" s="179">
        <f t="shared" si="90"/>
        <v>0.010824486139034691</v>
      </c>
      <c r="S215" s="180">
        <f t="shared" si="91"/>
        <v>0.2146238467847065</v>
      </c>
      <c r="T215" s="179">
        <f t="shared" si="92"/>
        <v>0.9891755138609654</v>
      </c>
      <c r="U215" s="181">
        <f t="shared" si="93"/>
        <v>0.2323192854627361</v>
      </c>
    </row>
    <row r="216" spans="1:21" ht="12.75">
      <c r="A216" s="91">
        <f t="shared" si="102"/>
        <v>2001.2999999999806</v>
      </c>
      <c r="B216" s="171">
        <f t="shared" si="97"/>
        <v>47.07619683500966</v>
      </c>
      <c r="C216" s="171">
        <f t="shared" si="98"/>
        <v>0.40250631251754093</v>
      </c>
      <c r="D216" s="172">
        <f t="shared" si="99"/>
        <v>0.11261260197064497</v>
      </c>
      <c r="E216" s="171">
        <f t="shared" si="86"/>
        <v>47.591315749497845</v>
      </c>
      <c r="F216" s="171"/>
      <c r="G216" s="171">
        <f t="shared" si="94"/>
        <v>0.14218143536741232</v>
      </c>
      <c r="H216" s="171">
        <f t="shared" si="95"/>
        <v>0.14202802065218037</v>
      </c>
      <c r="I216" s="91">
        <f t="shared" si="82"/>
        <v>0.10397166576274307</v>
      </c>
      <c r="J216" s="91">
        <f t="shared" si="84"/>
        <v>29.745695056150083</v>
      </c>
      <c r="K216" s="172">
        <f t="shared" si="100"/>
        <v>0.01538558275098437</v>
      </c>
      <c r="L216" s="177">
        <f t="shared" si="87"/>
        <v>5.230820356185098</v>
      </c>
      <c r="M216" s="178">
        <f t="shared" si="88"/>
        <v>0.07038553284238114</v>
      </c>
      <c r="N216" s="403">
        <f t="shared" si="96"/>
        <v>0</v>
      </c>
      <c r="O216" s="177">
        <f t="shared" si="101"/>
        <v>0.0028015475182717408</v>
      </c>
      <c r="P216" s="174">
        <f t="shared" si="103"/>
        <v>0.0005230820356185098</v>
      </c>
      <c r="Q216" s="179">
        <f t="shared" si="89"/>
        <v>0.0023662426683765977</v>
      </c>
      <c r="R216" s="179">
        <f t="shared" si="90"/>
        <v>0.010823800653034501</v>
      </c>
      <c r="S216" s="180">
        <f t="shared" si="91"/>
        <v>0.21861476797553647</v>
      </c>
      <c r="T216" s="179">
        <f t="shared" si="92"/>
        <v>0.9891761993469655</v>
      </c>
      <c r="U216" s="181">
        <f t="shared" si="93"/>
        <v>0.23662426683765977</v>
      </c>
    </row>
    <row r="217" spans="1:21" ht="12.75">
      <c r="A217" s="91">
        <f t="shared" si="102"/>
        <v>2001.3999999999805</v>
      </c>
      <c r="B217" s="171">
        <f t="shared" si="97"/>
        <v>46.98132140960912</v>
      </c>
      <c r="C217" s="171">
        <f t="shared" si="98"/>
        <v>0.3995955272545551</v>
      </c>
      <c r="D217" s="172">
        <f t="shared" si="99"/>
        <v>0.11445137411380371</v>
      </c>
      <c r="E217" s="171">
        <f t="shared" si="86"/>
        <v>47.49536831097748</v>
      </c>
      <c r="F217" s="171"/>
      <c r="G217" s="171">
        <f t="shared" si="94"/>
        <v>0.1418947875974608</v>
      </c>
      <c r="H217" s="171">
        <f t="shared" si="95"/>
        <v>0.14173886788101422</v>
      </c>
      <c r="I217" s="91">
        <f aca="true" t="shared" si="104" ref="I217:I280">H67*l</f>
        <v>0.10371327019111072</v>
      </c>
      <c r="J217" s="91">
        <f t="shared" si="84"/>
        <v>29.745695056150083</v>
      </c>
      <c r="K217" s="172">
        <f t="shared" si="100"/>
        <v>0.015489771815015065</v>
      </c>
      <c r="L217" s="177">
        <f t="shared" si="87"/>
        <v>5.339631243386427</v>
      </c>
      <c r="M217" s="178">
        <f t="shared" si="88"/>
        <v>0.07167931935711921</v>
      </c>
      <c r="N217" s="403">
        <f t="shared" si="96"/>
        <v>0</v>
      </c>
      <c r="O217" s="177">
        <f t="shared" si="101"/>
        <v>0.0028330621278969104</v>
      </c>
      <c r="P217" s="174">
        <f t="shared" si="103"/>
        <v>0.0005339631243386427</v>
      </c>
      <c r="Q217" s="179">
        <f t="shared" si="89"/>
        <v>0.0024097375846088734</v>
      </c>
      <c r="R217" s="179">
        <f t="shared" si="90"/>
        <v>0.010823095380640484</v>
      </c>
      <c r="S217" s="180">
        <f t="shared" si="91"/>
        <v>0.2226477269080734</v>
      </c>
      <c r="T217" s="179">
        <f t="shared" si="92"/>
        <v>0.9891769046193595</v>
      </c>
      <c r="U217" s="181">
        <f t="shared" si="93"/>
        <v>0.24097375846088734</v>
      </c>
    </row>
    <row r="218" spans="1:21" ht="12.75">
      <c r="A218" s="91">
        <f t="shared" si="102"/>
        <v>2001.4999999999804</v>
      </c>
      <c r="B218" s="171">
        <f t="shared" si="97"/>
        <v>46.88657868818864</v>
      </c>
      <c r="C218" s="171">
        <f t="shared" si="98"/>
        <v>0.3966728929034341</v>
      </c>
      <c r="D218" s="172">
        <f t="shared" si="99"/>
        <v>0.11630278255762565</v>
      </c>
      <c r="E218" s="171">
        <f t="shared" si="86"/>
        <v>47.3995543636497</v>
      </c>
      <c r="F218" s="171"/>
      <c r="G218" s="171">
        <f t="shared" si="94"/>
        <v>0.14160853863912168</v>
      </c>
      <c r="H218" s="171">
        <f t="shared" si="95"/>
        <v>0.14145009670673997</v>
      </c>
      <c r="I218" s="91">
        <f t="shared" si="104"/>
        <v>0.10345616701640481</v>
      </c>
      <c r="J218" s="91">
        <f t="shared" si="84"/>
        <v>29.745695056150083</v>
      </c>
      <c r="K218" s="172">
        <f t="shared" si="100"/>
        <v>0.015597693050212146</v>
      </c>
      <c r="L218" s="177">
        <f t="shared" si="87"/>
        <v>5.450256492228465</v>
      </c>
      <c r="M218" s="178">
        <f t="shared" si="88"/>
        <v>0.07298606813050397</v>
      </c>
      <c r="N218" s="403">
        <f t="shared" si="96"/>
        <v>0</v>
      </c>
      <c r="O218" s="177">
        <f t="shared" si="101"/>
        <v>0.0028642735411755693</v>
      </c>
      <c r="P218" s="174">
        <f t="shared" si="103"/>
        <v>0.0005450256492228465</v>
      </c>
      <c r="Q218" s="179">
        <f t="shared" si="89"/>
        <v>0.0024536682700716955</v>
      </c>
      <c r="R218" s="179">
        <f t="shared" si="90"/>
        <v>0.010822373381941672</v>
      </c>
      <c r="S218" s="180">
        <f t="shared" si="91"/>
        <v>0.2267218274104193</v>
      </c>
      <c r="T218" s="179">
        <f t="shared" si="92"/>
        <v>0.9891776266180584</v>
      </c>
      <c r="U218" s="181">
        <f t="shared" si="93"/>
        <v>0.24536682700716955</v>
      </c>
    </row>
    <row r="219" spans="1:21" ht="12.75">
      <c r="A219" s="91">
        <f t="shared" si="102"/>
        <v>2001.5999999999804</v>
      </c>
      <c r="B219" s="171">
        <f t="shared" si="97"/>
        <v>46.79196909468716</v>
      </c>
      <c r="C219" s="171">
        <f t="shared" si="98"/>
        <v>0.39373909248272676</v>
      </c>
      <c r="D219" s="172">
        <f t="shared" si="99"/>
        <v>0.11816626751577608</v>
      </c>
      <c r="E219" s="171">
        <f t="shared" si="86"/>
        <v>47.30387445468566</v>
      </c>
      <c r="F219" s="171"/>
      <c r="G219" s="171">
        <f t="shared" si="94"/>
        <v>0.14132269012709617</v>
      </c>
      <c r="H219" s="171">
        <f t="shared" si="95"/>
        <v>0.14116170952666854</v>
      </c>
      <c r="I219" s="91">
        <f t="shared" si="104"/>
        <v>0.10320035101982049</v>
      </c>
      <c r="J219" s="91">
        <f t="shared" si="84"/>
        <v>29.745695056150083</v>
      </c>
      <c r="K219" s="172">
        <f t="shared" si="100"/>
        <v>0.015708940244970198</v>
      </c>
      <c r="L219" s="177">
        <f t="shared" si="87"/>
        <v>5.5627129150890395</v>
      </c>
      <c r="M219" s="178">
        <f t="shared" si="88"/>
        <v>0.07430549399954191</v>
      </c>
      <c r="N219" s="403">
        <f t="shared" si="96"/>
        <v>0</v>
      </c>
      <c r="O219" s="177">
        <f t="shared" si="101"/>
        <v>0.0028951594786974146</v>
      </c>
      <c r="P219" s="174">
        <f t="shared" si="103"/>
        <v>0.0005562712915089039</v>
      </c>
      <c r="Q219" s="179">
        <f t="shared" si="89"/>
        <v>0.0024980251380671246</v>
      </c>
      <c r="R219" s="179">
        <f t="shared" si="90"/>
        <v>0.010821637041356478</v>
      </c>
      <c r="S219" s="180">
        <f t="shared" si="91"/>
        <v>0.23083615986384998</v>
      </c>
      <c r="T219" s="179">
        <f t="shared" si="92"/>
        <v>0.9891783629586436</v>
      </c>
      <c r="U219" s="181">
        <f t="shared" si="93"/>
        <v>0.24980251380671248</v>
      </c>
    </row>
    <row r="220" spans="1:21" ht="12.75">
      <c r="A220" s="91">
        <f t="shared" si="102"/>
        <v>2001.6999999999803</v>
      </c>
      <c r="B220" s="171">
        <f t="shared" si="97"/>
        <v>46.697493080393826</v>
      </c>
      <c r="C220" s="171">
        <f t="shared" si="98"/>
        <v>0.39079479399359984</v>
      </c>
      <c r="D220" s="172">
        <f t="shared" si="99"/>
        <v>0.12004124769993514</v>
      </c>
      <c r="E220" s="171">
        <f t="shared" si="86"/>
        <v>47.20832912208736</v>
      </c>
      <c r="F220" s="171"/>
      <c r="G220" s="171">
        <f t="shared" si="94"/>
        <v>0.14103724366869214</v>
      </c>
      <c r="H220" s="171">
        <f t="shared" si="95"/>
        <v>0.14087370874001004</v>
      </c>
      <c r="I220" s="91">
        <f t="shared" si="104"/>
        <v>0.10294581700297724</v>
      </c>
      <c r="J220" s="91">
        <f t="shared" si="84"/>
        <v>29.745695056150083</v>
      </c>
      <c r="K220" s="172">
        <f t="shared" si="100"/>
        <v>0.015823201416599153</v>
      </c>
      <c r="L220" s="177">
        <f t="shared" si="87"/>
        <v>5.677016411840056</v>
      </c>
      <c r="M220" s="178">
        <f t="shared" si="88"/>
        <v>0.07563729567737273</v>
      </c>
      <c r="N220" s="403">
        <f t="shared" si="96"/>
        <v>0</v>
      </c>
      <c r="O220" s="177">
        <f t="shared" si="101"/>
        <v>0.0029256977773860333</v>
      </c>
      <c r="P220" s="174">
        <f t="shared" si="103"/>
        <v>0.0005677016411840056</v>
      </c>
      <c r="Q220" s="179">
        <f t="shared" si="89"/>
        <v>0.0025427980598400684</v>
      </c>
      <c r="R220" s="179">
        <f t="shared" si="90"/>
        <v>0.010820887991448317</v>
      </c>
      <c r="S220" s="180">
        <f t="shared" si="91"/>
        <v>0.23498977735003138</v>
      </c>
      <c r="T220" s="179">
        <f t="shared" si="92"/>
        <v>0.9891791120085517</v>
      </c>
      <c r="U220" s="181">
        <f t="shared" si="93"/>
        <v>0.25427980598400685</v>
      </c>
    </row>
    <row r="221" spans="1:21" ht="12.75">
      <c r="A221" s="91">
        <f t="shared" si="102"/>
        <v>2001.7999999999802</v>
      </c>
      <c r="B221" s="171">
        <f t="shared" si="97"/>
        <v>46.60315106936857</v>
      </c>
      <c r="C221" s="171">
        <f t="shared" si="98"/>
        <v>0.3878406614692435</v>
      </c>
      <c r="D221" s="172">
        <f t="shared" si="99"/>
        <v>0.12192712036510195</v>
      </c>
      <c r="E221" s="171">
        <f t="shared" si="86"/>
        <v>47.11291885120291</v>
      </c>
      <c r="F221" s="171"/>
      <c r="G221" s="171">
        <f t="shared" si="94"/>
        <v>0.14075220071391129</v>
      </c>
      <c r="H221" s="171">
        <f t="shared" si="95"/>
        <v>0.14058609661789956</v>
      </c>
      <c r="I221" s="91">
        <f t="shared" si="104"/>
        <v>0.10269251615315866</v>
      </c>
      <c r="J221" s="91">
        <f t="shared" si="84"/>
        <v>29.745695056150083</v>
      </c>
      <c r="K221" s="172">
        <f t="shared" si="100"/>
        <v>0.015940273710004043</v>
      </c>
      <c r="L221" s="177">
        <f t="shared" si="87"/>
        <v>5.793180859318716</v>
      </c>
      <c r="M221" s="178">
        <f t="shared" si="88"/>
        <v>0.07698115569764209</v>
      </c>
      <c r="N221" s="403">
        <f t="shared" si="96"/>
        <v>0</v>
      </c>
      <c r="O221" s="177">
        <f t="shared" si="101"/>
        <v>0.0029558661382471877</v>
      </c>
      <c r="P221" s="174">
        <f t="shared" si="103"/>
        <v>0.0005793180859318716</v>
      </c>
      <c r="Q221" s="179">
        <f t="shared" si="89"/>
        <v>0.002587976362708184</v>
      </c>
      <c r="R221" s="179">
        <f t="shared" si="90"/>
        <v>0.010820127350724094</v>
      </c>
      <c r="S221" s="180">
        <f t="shared" si="91"/>
        <v>0.23918169156622668</v>
      </c>
      <c r="T221" s="179">
        <f t="shared" si="92"/>
        <v>0.989179872649276</v>
      </c>
      <c r="U221" s="181">
        <f t="shared" si="93"/>
        <v>0.25879763627081837</v>
      </c>
    </row>
    <row r="222" spans="1:21" ht="12.75">
      <c r="A222" s="91">
        <f t="shared" si="102"/>
        <v>2001.89999999998</v>
      </c>
      <c r="B222" s="171">
        <f t="shared" si="97"/>
        <v>46.50894357940986</v>
      </c>
      <c r="C222" s="171">
        <f t="shared" si="98"/>
        <v>0.38487736503709746</v>
      </c>
      <c r="D222" s="172">
        <f t="shared" si="99"/>
        <v>0.12382326157403725</v>
      </c>
      <c r="E222" s="171">
        <f t="shared" si="86"/>
        <v>47.017644206021</v>
      </c>
      <c r="F222" s="171"/>
      <c r="G222" s="171">
        <f t="shared" si="94"/>
        <v>0.14046756294769805</v>
      </c>
      <c r="H222" s="171">
        <f t="shared" si="95"/>
        <v>0.14029887569528537</v>
      </c>
      <c r="I222" s="91">
        <f t="shared" si="104"/>
        <v>0.10244053052945537</v>
      </c>
      <c r="J222" s="91">
        <f t="shared" si="84"/>
        <v>29.745695056150083</v>
      </c>
      <c r="K222" s="172">
        <f t="shared" si="100"/>
        <v>0.016060029551971444</v>
      </c>
      <c r="L222" s="177">
        <f t="shared" si="87"/>
        <v>5.911219996485032</v>
      </c>
      <c r="M222" s="178">
        <f t="shared" si="88"/>
        <v>0.07833674021395469</v>
      </c>
      <c r="N222" s="403">
        <f t="shared" si="96"/>
        <v>0</v>
      </c>
      <c r="O222" s="177">
        <f t="shared" si="101"/>
        <v>0.0029856422346440335</v>
      </c>
      <c r="P222" s="174">
        <f t="shared" si="103"/>
        <v>0.0005911219996485032</v>
      </c>
      <c r="Q222" s="179">
        <f t="shared" si="89"/>
        <v>0.002633548823319835</v>
      </c>
      <c r="R222" s="179">
        <f t="shared" si="90"/>
        <v>0.010819355907797512</v>
      </c>
      <c r="S222" s="180">
        <f t="shared" si="91"/>
        <v>0.24341086897990258</v>
      </c>
      <c r="T222" s="179">
        <f t="shared" si="92"/>
        <v>0.9891806440922024</v>
      </c>
      <c r="U222" s="181">
        <f t="shared" si="93"/>
        <v>0.2633548823319835</v>
      </c>
    </row>
    <row r="223" spans="1:23" ht="12.75">
      <c r="A223" s="91">
        <f t="shared" si="102"/>
        <v>2001.99999999998</v>
      </c>
      <c r="B223" s="171">
        <f t="shared" si="97"/>
        <v>46.414871087952754</v>
      </c>
      <c r="C223" s="171">
        <f t="shared" si="98"/>
        <v>0.3819055838590316</v>
      </c>
      <c r="D223" s="172">
        <f t="shared" si="99"/>
        <v>0.12572902637570085</v>
      </c>
      <c r="E223" s="171">
        <f t="shared" si="86"/>
        <v>46.922505698187486</v>
      </c>
      <c r="F223" s="171"/>
      <c r="G223" s="171">
        <f t="shared" si="94"/>
        <v>0.14018333189862006</v>
      </c>
      <c r="H223" s="171">
        <f t="shared" si="95"/>
        <v>0.14001204837936662</v>
      </c>
      <c r="I223" s="91">
        <f t="shared" si="104"/>
        <v>0.10218981152290112</v>
      </c>
      <c r="J223" s="91">
        <f t="shared" si="84"/>
        <v>29.745695056150083</v>
      </c>
      <c r="K223" s="172">
        <f t="shared" si="100"/>
        <v>0.01618238997711661</v>
      </c>
      <c r="L223" s="177">
        <f t="shared" si="87"/>
        <v>6.031146573257088</v>
      </c>
      <c r="M223" s="178">
        <f t="shared" si="88"/>
        <v>0.07970369916589327</v>
      </c>
      <c r="N223" s="403">
        <f t="shared" si="96"/>
        <v>0</v>
      </c>
      <c r="O223" s="177">
        <f t="shared" si="101"/>
        <v>0.0030150038159142516</v>
      </c>
      <c r="P223" s="174">
        <f t="shared" si="103"/>
        <v>0.0006031146573257088</v>
      </c>
      <c r="Q223" s="179">
        <f t="shared" si="89"/>
        <v>0.002679503673235368</v>
      </c>
      <c r="R223" s="179">
        <f t="shared" si="90"/>
        <v>0.01081857421468311</v>
      </c>
      <c r="S223" s="180">
        <f t="shared" si="91"/>
        <v>0.24767622979363682</v>
      </c>
      <c r="T223" s="179">
        <f t="shared" si="92"/>
        <v>0.9891814257853169</v>
      </c>
      <c r="U223" s="181">
        <f t="shared" si="93"/>
        <v>0.2679503673235368</v>
      </c>
      <c r="V223">
        <f>IF(ISNUMBER('Set-up'!$N$29)=FALSE,"",('Set-up'!$N$29-'EPP model'!U223)^2)</f>
        <v>0.006538724872809545</v>
      </c>
      <c r="W223">
        <f>IF(ISNUMBER('Set-up'!$N$29)=FALSE,NA()=FALSE,('Set-up'!$N$29))</f>
        <v>0.3488127496332953</v>
      </c>
    </row>
    <row r="224" spans="1:21" ht="12.75">
      <c r="A224" s="91">
        <f t="shared" si="102"/>
        <v>2002.09999999998</v>
      </c>
      <c r="B224" s="171">
        <f t="shared" si="97"/>
        <v>46.32093407126077</v>
      </c>
      <c r="C224" s="171">
        <f t="shared" si="98"/>
        <v>0.3789260103386634</v>
      </c>
      <c r="D224" s="172">
        <f t="shared" si="99"/>
        <v>0.1276437491372565</v>
      </c>
      <c r="E224" s="171">
        <f t="shared" si="86"/>
        <v>46.827503830736696</v>
      </c>
      <c r="F224" s="171"/>
      <c r="G224" s="171">
        <f t="shared" si="94"/>
        <v>0.13989950906951742</v>
      </c>
      <c r="H224" s="171">
        <f t="shared" si="95"/>
        <v>0.13972561707979025</v>
      </c>
      <c r="I224" s="91">
        <f t="shared" si="104"/>
        <v>0.10194035393778174</v>
      </c>
      <c r="J224" s="91">
        <f t="shared" si="84"/>
        <v>29.745695056150083</v>
      </c>
      <c r="K224" s="172">
        <f t="shared" si="100"/>
        <v>0.016307311400394126</v>
      </c>
      <c r="L224" s="177">
        <f t="shared" si="87"/>
        <v>6.152972410465013</v>
      </c>
      <c r="M224" s="178">
        <f t="shared" si="88"/>
        <v>0.08108166626572075</v>
      </c>
      <c r="N224" s="403">
        <f t="shared" si="96"/>
        <v>0</v>
      </c>
      <c r="O224" s="177">
        <f t="shared" si="101"/>
        <v>0.003043928776567508</v>
      </c>
      <c r="P224" s="174">
        <f t="shared" si="103"/>
        <v>0.0006152972410465013</v>
      </c>
      <c r="Q224" s="179">
        <f t="shared" si="89"/>
        <v>0.002725828598480057</v>
      </c>
      <c r="R224" s="179">
        <f t="shared" si="90"/>
        <v>0.010817782671204803</v>
      </c>
      <c r="S224" s="180">
        <f t="shared" si="91"/>
        <v>0.2519766463543194</v>
      </c>
      <c r="T224" s="179">
        <f t="shared" si="92"/>
        <v>0.9891822173287952</v>
      </c>
      <c r="U224" s="181">
        <f t="shared" si="93"/>
        <v>0.27258285984800573</v>
      </c>
    </row>
    <row r="225" spans="1:21" ht="12.75">
      <c r="A225" s="91">
        <f t="shared" si="102"/>
        <v>2002.1999999999798</v>
      </c>
      <c r="B225" s="171">
        <f t="shared" si="97"/>
        <v>46.22713300212678</v>
      </c>
      <c r="C225" s="171">
        <f t="shared" si="98"/>
        <v>0.3759393522495433</v>
      </c>
      <c r="D225" s="172">
        <f t="shared" si="99"/>
        <v>0.1295667439433746</v>
      </c>
      <c r="E225" s="171">
        <f t="shared" si="86"/>
        <v>46.732639098319694</v>
      </c>
      <c r="F225" s="171"/>
      <c r="G225" s="171">
        <f t="shared" si="94"/>
        <v>0.13961609593818503</v>
      </c>
      <c r="H225" s="171">
        <f t="shared" si="95"/>
        <v>0.1394395842087892</v>
      </c>
      <c r="I225" s="91">
        <f t="shared" si="104"/>
        <v>0.10169215267783781</v>
      </c>
      <c r="J225" s="91">
        <f t="shared" si="84"/>
        <v>29.745695056150083</v>
      </c>
      <c r="K225" s="172">
        <f t="shared" si="100"/>
        <v>0.016434773261140127</v>
      </c>
      <c r="L225" s="177">
        <f t="shared" si="87"/>
        <v>6.2767084415777274</v>
      </c>
      <c r="M225" s="178">
        <f t="shared" si="88"/>
        <v>0.08247025909770367</v>
      </c>
      <c r="N225" s="403">
        <f t="shared" si="96"/>
        <v>0</v>
      </c>
      <c r="O225" s="177">
        <f t="shared" si="101"/>
        <v>0.0030723952309680558</v>
      </c>
      <c r="P225" s="174">
        <f t="shared" si="103"/>
        <v>0.0006276708441577727</v>
      </c>
      <c r="Q225" s="179">
        <f t="shared" si="89"/>
        <v>0.0027725107428831957</v>
      </c>
      <c r="R225" s="179">
        <f t="shared" si="90"/>
        <v>0.010816981577466566</v>
      </c>
      <c r="S225" s="180">
        <f t="shared" si="91"/>
        <v>0.2563109424775911</v>
      </c>
      <c r="T225" s="179">
        <f t="shared" si="92"/>
        <v>0.9891830184225334</v>
      </c>
      <c r="U225" s="181">
        <f t="shared" si="93"/>
        <v>0.2772510742883196</v>
      </c>
    </row>
    <row r="226" spans="1:21" ht="12.75">
      <c r="A226" s="91">
        <f t="shared" si="102"/>
        <v>2002.2999999999797</v>
      </c>
      <c r="B226" s="171">
        <f t="shared" si="97"/>
        <v>46.133468348315546</v>
      </c>
      <c r="C226" s="171">
        <f t="shared" si="98"/>
        <v>0.37294633397756555</v>
      </c>
      <c r="D226" s="172">
        <f t="shared" si="99"/>
        <v>0.1314973050548611</v>
      </c>
      <c r="E226" s="171">
        <f t="shared" si="86"/>
        <v>46.63791198734798</v>
      </c>
      <c r="F226" s="171"/>
      <c r="G226" s="171">
        <f t="shared" si="94"/>
        <v>0.13933309395780147</v>
      </c>
      <c r="H226" s="171">
        <f t="shared" si="95"/>
        <v>0.13915395218098667</v>
      </c>
      <c r="I226" s="91">
        <f t="shared" si="104"/>
        <v>0.10144520266657336</v>
      </c>
      <c r="J226" s="91">
        <f t="shared" si="84"/>
        <v>29.745695056150083</v>
      </c>
      <c r="K226" s="172">
        <f t="shared" si="100"/>
        <v>0.016564770321038928</v>
      </c>
      <c r="L226" s="177">
        <f t="shared" si="87"/>
        <v>6.385898562437451</v>
      </c>
      <c r="M226" s="178">
        <f t="shared" si="88"/>
        <v>0.08386907925741947</v>
      </c>
      <c r="N226" s="403">
        <f t="shared" si="96"/>
        <v>0</v>
      </c>
      <c r="O226" s="177">
        <f t="shared" si="101"/>
        <v>0.0031003815785042724</v>
      </c>
      <c r="P226" s="174">
        <f t="shared" si="103"/>
        <v>0.0006385898562437451</v>
      </c>
      <c r="Q226" s="179">
        <f t="shared" si="89"/>
        <v>0.002819536712761368</v>
      </c>
      <c r="R226" s="179">
        <f t="shared" si="90"/>
        <v>0.010816171169268321</v>
      </c>
      <c r="S226" s="180">
        <f t="shared" si="91"/>
        <v>0.26067789318760387</v>
      </c>
      <c r="T226" s="179">
        <f t="shared" si="92"/>
        <v>0.9891838288307316</v>
      </c>
      <c r="U226" s="181">
        <f t="shared" si="93"/>
        <v>0.2819536712761368</v>
      </c>
    </row>
    <row r="227" spans="1:21" ht="12.75">
      <c r="A227" s="91">
        <f t="shared" si="102"/>
        <v>2002.3999999999796</v>
      </c>
      <c r="B227" s="171">
        <f t="shared" si="97"/>
        <v>46.03994057156316</v>
      </c>
      <c r="C227" s="171">
        <f t="shared" si="98"/>
        <v>0.36994769714693315</v>
      </c>
      <c r="D227" s="172">
        <f t="shared" si="99"/>
        <v>0.1334363540411179</v>
      </c>
      <c r="E227" s="171">
        <f t="shared" si="86"/>
        <v>46.54332462275121</v>
      </c>
      <c r="F227" s="171"/>
      <c r="G227" s="171">
        <f t="shared" si="94"/>
        <v>0.1390505094767004</v>
      </c>
      <c r="H227" s="171">
        <f t="shared" si="95"/>
        <v>0.1388687260892413</v>
      </c>
      <c r="I227" s="91">
        <f t="shared" si="104"/>
        <v>0.10119949884709734</v>
      </c>
      <c r="J227" s="91">
        <f aca="true" t="shared" si="105" ref="J227:J290">force_of_infection</f>
        <v>29.745695056150083</v>
      </c>
      <c r="K227" s="172">
        <f t="shared" si="100"/>
        <v>0.016697307413864798</v>
      </c>
      <c r="L227" s="177">
        <f t="shared" si="87"/>
        <v>6.5126355581702455</v>
      </c>
      <c r="M227" s="178">
        <f t="shared" si="88"/>
        <v>0.08527876186075839</v>
      </c>
      <c r="N227" s="403">
        <f t="shared" si="96"/>
        <v>0</v>
      </c>
      <c r="O227" s="177">
        <f t="shared" si="101"/>
        <v>0.003127866564312848</v>
      </c>
      <c r="P227" s="174">
        <f t="shared" si="103"/>
        <v>0.0006512635558170246</v>
      </c>
      <c r="Q227" s="179">
        <f t="shared" si="89"/>
        <v>0.002866927859637509</v>
      </c>
      <c r="R227" s="179">
        <f t="shared" si="90"/>
        <v>0.010815386637463969</v>
      </c>
      <c r="S227" s="180">
        <f t="shared" si="91"/>
        <v>0.2650786287849028</v>
      </c>
      <c r="T227" s="179">
        <f t="shared" si="92"/>
        <v>0.989184613362536</v>
      </c>
      <c r="U227" s="181">
        <f t="shared" si="93"/>
        <v>0.2866927859637509</v>
      </c>
    </row>
    <row r="228" spans="1:21" ht="12.75">
      <c r="A228" s="91">
        <f t="shared" si="102"/>
        <v>2002.4999999999795</v>
      </c>
      <c r="B228" s="171">
        <f t="shared" si="97"/>
        <v>45.94655071152933</v>
      </c>
      <c r="C228" s="171">
        <f t="shared" si="98"/>
        <v>0.36694357741734634</v>
      </c>
      <c r="D228" s="172">
        <f t="shared" si="99"/>
        <v>0.13538161730508577</v>
      </c>
      <c r="E228" s="171">
        <f t="shared" si="86"/>
        <v>46.448875906251764</v>
      </c>
      <c r="F228" s="171"/>
      <c r="G228" s="171">
        <f t="shared" si="94"/>
        <v>0.13876833921372247</v>
      </c>
      <c r="H228" s="171">
        <f t="shared" si="95"/>
        <v>0.1385839057497669</v>
      </c>
      <c r="I228" s="91">
        <f t="shared" si="104"/>
        <v>0.10095503618200374</v>
      </c>
      <c r="J228" s="91">
        <f t="shared" si="105"/>
        <v>29.745695056150083</v>
      </c>
      <c r="K228" s="172">
        <f t="shared" si="100"/>
        <v>0.016826605417066837</v>
      </c>
      <c r="L228" s="177">
        <f t="shared" si="87"/>
        <v>6.641435111042367</v>
      </c>
      <c r="M228" s="178">
        <f t="shared" si="88"/>
        <v>0.08669790659074868</v>
      </c>
      <c r="N228" s="403">
        <f t="shared" si="96"/>
        <v>0</v>
      </c>
      <c r="O228" s="177">
        <f t="shared" si="101"/>
        <v>0.0031548681565929278</v>
      </c>
      <c r="P228" s="174">
        <f t="shared" si="103"/>
        <v>0.0006641435111042367</v>
      </c>
      <c r="Q228" s="179">
        <f t="shared" si="89"/>
        <v>0.0029146371072214503</v>
      </c>
      <c r="R228" s="179">
        <f t="shared" si="90"/>
        <v>0.010814582375174808</v>
      </c>
      <c r="S228" s="180">
        <f t="shared" si="91"/>
        <v>0.2695099085760432</v>
      </c>
      <c r="T228" s="179">
        <f t="shared" si="92"/>
        <v>0.9891854176248253</v>
      </c>
      <c r="U228" s="181">
        <f t="shared" si="93"/>
        <v>0.29146371072214505</v>
      </c>
    </row>
    <row r="229" spans="1:21" ht="12.75">
      <c r="A229" s="91">
        <f t="shared" si="102"/>
        <v>2002.5999999999794</v>
      </c>
      <c r="B229" s="171">
        <f t="shared" si="97"/>
        <v>45.853299039154415</v>
      </c>
      <c r="C229" s="171">
        <f t="shared" si="98"/>
        <v>0.36393493158736867</v>
      </c>
      <c r="D229" s="172">
        <f t="shared" si="99"/>
        <v>0.13733231683950828</v>
      </c>
      <c r="E229" s="171">
        <f t="shared" si="86"/>
        <v>46.35456628758129</v>
      </c>
      <c r="F229" s="171"/>
      <c r="G229" s="171">
        <f t="shared" si="94"/>
        <v>0.1384865845124635</v>
      </c>
      <c r="H229" s="171">
        <f t="shared" si="95"/>
        <v>0.13829949356605623</v>
      </c>
      <c r="I229" s="91">
        <f t="shared" si="104"/>
        <v>0.10071180965325138</v>
      </c>
      <c r="J229" s="91">
        <f t="shared" si="105"/>
        <v>29.745695056150083</v>
      </c>
      <c r="K229" s="172">
        <f t="shared" si="100"/>
        <v>0.016960176649107723</v>
      </c>
      <c r="L229" s="177">
        <f t="shared" si="87"/>
        <v>6.772139810731186</v>
      </c>
      <c r="M229" s="178">
        <f t="shared" si="88"/>
        <v>0.08812605844954287</v>
      </c>
      <c r="N229" s="403">
        <f t="shared" si="96"/>
        <v>0</v>
      </c>
      <c r="O229" s="177">
        <f t="shared" si="101"/>
        <v>0.003181323999900425</v>
      </c>
      <c r="P229" s="174">
        <f t="shared" si="103"/>
        <v>0.0006772139810731187</v>
      </c>
      <c r="Q229" s="179">
        <f t="shared" si="89"/>
        <v>0.0029626491592544693</v>
      </c>
      <c r="R229" s="179">
        <f t="shared" si="90"/>
        <v>0.010813762021135983</v>
      </c>
      <c r="S229" s="180">
        <f t="shared" si="91"/>
        <v>0.27397025692481847</v>
      </c>
      <c r="T229" s="179">
        <f t="shared" si="92"/>
        <v>0.989186237978864</v>
      </c>
      <c r="U229" s="181">
        <f t="shared" si="93"/>
        <v>0.29626491592544696</v>
      </c>
    </row>
    <row r="230" spans="1:21" ht="12.75">
      <c r="A230" s="91">
        <f t="shared" si="102"/>
        <v>2002.6999999999794</v>
      </c>
      <c r="B230" s="171">
        <f t="shared" si="97"/>
        <v>45.76018587493498</v>
      </c>
      <c r="C230" s="171">
        <f t="shared" si="98"/>
        <v>0.3609226757522253</v>
      </c>
      <c r="D230" s="172">
        <f t="shared" si="99"/>
        <v>0.13928767464465258</v>
      </c>
      <c r="E230" s="171">
        <f t="shared" si="86"/>
        <v>46.26039622533187</v>
      </c>
      <c r="F230" s="171"/>
      <c r="G230" s="171">
        <f t="shared" si="94"/>
        <v>0.13820524674299026</v>
      </c>
      <c r="H230" s="171">
        <f t="shared" si="95"/>
        <v>0.13801549196806281</v>
      </c>
      <c r="I230" s="91">
        <f t="shared" si="104"/>
        <v>0.10046981426204302</v>
      </c>
      <c r="J230" s="91">
        <f t="shared" si="105"/>
        <v>29.745695056150083</v>
      </c>
      <c r="K230" s="172">
        <f t="shared" si="100"/>
        <v>0.017097493782395806</v>
      </c>
      <c r="L230" s="177">
        <f t="shared" si="87"/>
        <v>6.904758911117599</v>
      </c>
      <c r="M230" s="178">
        <f t="shared" si="88"/>
        <v>0.0895627584960306</v>
      </c>
      <c r="N230" s="403">
        <f t="shared" si="96"/>
        <v>0</v>
      </c>
      <c r="O230" s="177">
        <f t="shared" si="101"/>
        <v>0.003207215105289884</v>
      </c>
      <c r="P230" s="174">
        <f t="shared" si="103"/>
        <v>0.00069047589111176</v>
      </c>
      <c r="Q230" s="179">
        <f t="shared" si="89"/>
        <v>0.003010948586912008</v>
      </c>
      <c r="R230" s="179">
        <f t="shared" si="90"/>
        <v>0.010812928362316235</v>
      </c>
      <c r="S230" s="180">
        <f t="shared" si="91"/>
        <v>0.278458201702821</v>
      </c>
      <c r="T230" s="179">
        <f t="shared" si="92"/>
        <v>0.9891870716376836</v>
      </c>
      <c r="U230" s="181">
        <f t="shared" si="93"/>
        <v>0.3010948586912008</v>
      </c>
    </row>
    <row r="231" spans="1:21" ht="12.75">
      <c r="A231" s="91">
        <f t="shared" si="102"/>
        <v>2002.7999999999793</v>
      </c>
      <c r="B231" s="171">
        <f t="shared" si="97"/>
        <v>45.66721157541611</v>
      </c>
      <c r="C231" s="171">
        <f t="shared" si="98"/>
        <v>0.35790769823300517</v>
      </c>
      <c r="D231" s="172">
        <f t="shared" si="99"/>
        <v>0.14124689662245546</v>
      </c>
      <c r="E231" s="171">
        <f t="shared" si="86"/>
        <v>46.16636617027157</v>
      </c>
      <c r="F231" s="171"/>
      <c r="G231" s="171">
        <f t="shared" si="94"/>
        <v>0.13792432725199485</v>
      </c>
      <c r="H231" s="171">
        <f t="shared" si="95"/>
        <v>0.13773190338429683</v>
      </c>
      <c r="I231" s="91">
        <f t="shared" si="104"/>
        <v>0.10022904502870392</v>
      </c>
      <c r="J231" s="91">
        <f t="shared" si="105"/>
        <v>29.745695056150083</v>
      </c>
      <c r="K231" s="172">
        <f t="shared" si="100"/>
        <v>0.017238157021684828</v>
      </c>
      <c r="L231" s="177">
        <f t="shared" si="87"/>
        <v>7.039300459832517</v>
      </c>
      <c r="M231" s="178">
        <f t="shared" si="88"/>
        <v>0.09100753347281264</v>
      </c>
      <c r="N231" s="403">
        <f t="shared" si="96"/>
        <v>0</v>
      </c>
      <c r="O231" s="177">
        <f t="shared" si="101"/>
        <v>0.003232523044413772</v>
      </c>
      <c r="P231" s="174">
        <f t="shared" si="103"/>
        <v>0.0007039300459832517</v>
      </c>
      <c r="Q231" s="179">
        <f t="shared" si="89"/>
        <v>0.003059519480080071</v>
      </c>
      <c r="R231" s="179">
        <f t="shared" si="90"/>
        <v>0.01081208326023474</v>
      </c>
      <c r="S231" s="180">
        <f t="shared" si="91"/>
        <v>0.2829722456293447</v>
      </c>
      <c r="T231" s="179">
        <f t="shared" si="92"/>
        <v>0.9891879167397652</v>
      </c>
      <c r="U231" s="181">
        <f t="shared" si="93"/>
        <v>0.30595194800800707</v>
      </c>
    </row>
    <row r="232" spans="1:21" ht="12.75">
      <c r="A232" s="91">
        <f t="shared" si="102"/>
        <v>2002.8999999999792</v>
      </c>
      <c r="B232" s="171">
        <f t="shared" si="97"/>
        <v>45.57437646814498</v>
      </c>
      <c r="C232" s="171">
        <f t="shared" si="98"/>
        <v>0.35489087340657094</v>
      </c>
      <c r="D232" s="172">
        <f t="shared" si="99"/>
        <v>0.14320917305829625</v>
      </c>
      <c r="E232" s="171">
        <f t="shared" si="86"/>
        <v>46.072476514609846</v>
      </c>
      <c r="F232" s="171"/>
      <c r="G232" s="171">
        <f t="shared" si="94"/>
        <v>0.13764382721122267</v>
      </c>
      <c r="H232" s="171">
        <f t="shared" si="95"/>
        <v>0.1374487300895962</v>
      </c>
      <c r="I232" s="91">
        <f t="shared" si="104"/>
        <v>0.09998944608548342</v>
      </c>
      <c r="J232" s="91">
        <f t="shared" si="105"/>
        <v>29.745695056150083</v>
      </c>
      <c r="K232" s="172">
        <f t="shared" si="100"/>
        <v>0.017381911428409287</v>
      </c>
      <c r="L232" s="177">
        <f t="shared" si="87"/>
        <v>7.175769931897266</v>
      </c>
      <c r="M232" s="178">
        <f t="shared" si="88"/>
        <v>0.09245989608751941</v>
      </c>
      <c r="N232" s="403">
        <f t="shared" si="96"/>
        <v>0</v>
      </c>
      <c r="O232" s="177">
        <f t="shared" si="101"/>
        <v>0.0032572296827117543</v>
      </c>
      <c r="P232" s="174">
        <f t="shared" si="103"/>
        <v>0.0007175769931897266</v>
      </c>
      <c r="Q232" s="179">
        <f t="shared" si="89"/>
        <v>0.0031083454568126764</v>
      </c>
      <c r="R232" s="179">
        <f t="shared" si="90"/>
        <v>0.010811227963986628</v>
      </c>
      <c r="S232" s="180">
        <f t="shared" si="91"/>
        <v>0.28751086066882614</v>
      </c>
      <c r="T232" s="179">
        <f t="shared" si="92"/>
        <v>0.9891887720360134</v>
      </c>
      <c r="U232" s="181">
        <f t="shared" si="93"/>
        <v>0.31083454568126767</v>
      </c>
    </row>
    <row r="233" spans="1:23" ht="12.75">
      <c r="A233" s="91">
        <f t="shared" si="102"/>
        <v>2002.999999999979</v>
      </c>
      <c r="B233" s="171">
        <f t="shared" si="97"/>
        <v>45.48168099191194</v>
      </c>
      <c r="C233" s="171">
        <f t="shared" si="98"/>
        <v>0.35187307387784467</v>
      </c>
      <c r="D233" s="172">
        <f t="shared" si="99"/>
        <v>0.1451736793857371</v>
      </c>
      <c r="E233" s="171">
        <f t="shared" si="86"/>
        <v>45.97872774517552</v>
      </c>
      <c r="F233" s="171"/>
      <c r="G233" s="171">
        <f t="shared" si="94"/>
        <v>0.13736374807509913</v>
      </c>
      <c r="H233" s="171">
        <f t="shared" si="95"/>
        <v>0.13716597466171207</v>
      </c>
      <c r="I233" s="91">
        <f t="shared" si="104"/>
        <v>0.09975111424041626</v>
      </c>
      <c r="J233" s="91">
        <f t="shared" si="105"/>
        <v>29.745695056150083</v>
      </c>
      <c r="K233" s="172">
        <f t="shared" si="100"/>
        <v>0.01752859875477338</v>
      </c>
      <c r="L233" s="177">
        <f t="shared" si="87"/>
        <v>7.3141724443348854</v>
      </c>
      <c r="M233" s="178">
        <f t="shared" si="88"/>
        <v>0.09391934507453939</v>
      </c>
      <c r="N233" s="403">
        <f t="shared" si="96"/>
        <v>0</v>
      </c>
      <c r="O233" s="177">
        <f t="shared" si="101"/>
        <v>0.0032813173277580557</v>
      </c>
      <c r="P233" s="174">
        <f t="shared" si="103"/>
        <v>0.0007314172444334886</v>
      </c>
      <c r="Q233" s="179">
        <f t="shared" si="89"/>
        <v>0.0031574096654070636</v>
      </c>
      <c r="R233" s="179">
        <f t="shared" si="90"/>
        <v>0.01081036334929333</v>
      </c>
      <c r="S233" s="180">
        <f t="shared" si="91"/>
        <v>0.2920724829858251</v>
      </c>
      <c r="T233" s="179">
        <f t="shared" si="92"/>
        <v>0.9891896366507067</v>
      </c>
      <c r="U233" s="181">
        <f t="shared" si="93"/>
        <v>0.3157409665407064</v>
      </c>
      <c r="V233">
        <f>IF(ISNUMBER('Set-up'!$N$30)=FALSE,"",('Set-up'!$N$30-'EPP model'!U233)^2)</f>
      </c>
      <c r="W233" t="e">
        <f>IF(ISNUMBER('Set-up'!$N$30)=FALSE,NA()=FALSE,('Set-up'!$N$30))</f>
        <v>#N/A</v>
      </c>
    </row>
    <row r="234" spans="1:21" ht="12.75">
      <c r="A234" s="91">
        <f t="shared" si="102"/>
        <v>2003.099999999979</v>
      </c>
      <c r="B234" s="171">
        <f t="shared" si="97"/>
        <v>45.38912554045877</v>
      </c>
      <c r="C234" s="171">
        <f t="shared" si="98"/>
        <v>0.3488551733259583</v>
      </c>
      <c r="D234" s="172">
        <f t="shared" si="99"/>
        <v>0.14713957686213797</v>
      </c>
      <c r="E234" s="171">
        <f t="shared" si="86"/>
        <v>45.88512029064687</v>
      </c>
      <c r="F234" s="171"/>
      <c r="G234" s="171">
        <f t="shared" si="94"/>
        <v>0.13708409112432204</v>
      </c>
      <c r="H234" s="171">
        <f t="shared" si="95"/>
        <v>0.13688363952398042</v>
      </c>
      <c r="I234" s="91">
        <f t="shared" si="104"/>
        <v>0.09951399389171298</v>
      </c>
      <c r="J234" s="91">
        <f t="shared" si="105"/>
        <v>29.745695056150083</v>
      </c>
      <c r="K234" s="172">
        <f t="shared" si="100"/>
        <v>0.017678119849717105</v>
      </c>
      <c r="L234" s="177">
        <f t="shared" si="87"/>
        <v>7.454511778492298</v>
      </c>
      <c r="M234" s="178">
        <f t="shared" si="88"/>
        <v>0.09538536580723021</v>
      </c>
      <c r="N234" s="403">
        <f t="shared" si="96"/>
        <v>0</v>
      </c>
      <c r="O234" s="177">
        <f t="shared" si="101"/>
        <v>0.003304768864797219</v>
      </c>
      <c r="P234" s="174">
        <f t="shared" si="103"/>
        <v>0.0007454511778492299</v>
      </c>
      <c r="Q234" s="179">
        <f t="shared" si="89"/>
        <v>0.0032066948049851926</v>
      </c>
      <c r="R234" s="179">
        <f t="shared" si="90"/>
        <v>0.010809490027406528</v>
      </c>
      <c r="S234" s="180">
        <f t="shared" si="91"/>
        <v>0.2966555125963293</v>
      </c>
      <c r="T234" s="179">
        <f t="shared" si="92"/>
        <v>0.9891905099725935</v>
      </c>
      <c r="U234" s="181">
        <f t="shared" si="93"/>
        <v>0.3206694804985193</v>
      </c>
    </row>
    <row r="235" spans="1:21" ht="12.75">
      <c r="A235" s="91">
        <f t="shared" si="102"/>
        <v>2003.199999999979</v>
      </c>
      <c r="B235" s="171">
        <f t="shared" si="97"/>
        <v>45.29671050804108</v>
      </c>
      <c r="C235" s="171">
        <f t="shared" si="98"/>
        <v>0.345838051045037</v>
      </c>
      <c r="D235" s="172">
        <f t="shared" si="99"/>
        <v>0.1491060134146125</v>
      </c>
      <c r="E235" s="171">
        <f t="shared" si="86"/>
        <v>45.791654572500725</v>
      </c>
      <c r="F235" s="171"/>
      <c r="G235" s="171">
        <f t="shared" si="94"/>
        <v>0.13680485761807457</v>
      </c>
      <c r="H235" s="171">
        <f t="shared" si="95"/>
        <v>0.13660172709638274</v>
      </c>
      <c r="I235" s="91">
        <f t="shared" si="104"/>
        <v>0.0992780800097953</v>
      </c>
      <c r="J235" s="91">
        <f t="shared" si="105"/>
        <v>29.745695056150083</v>
      </c>
      <c r="K235" s="172">
        <f t="shared" si="100"/>
        <v>0.017830418015396855</v>
      </c>
      <c r="L235" s="177">
        <f t="shared" si="87"/>
        <v>7.596790459644686</v>
      </c>
      <c r="M235" s="178">
        <f t="shared" si="88"/>
        <v>0.09685743062738764</v>
      </c>
      <c r="N235" s="403">
        <f t="shared" si="96"/>
        <v>0</v>
      </c>
      <c r="O235" s="177">
        <f t="shared" si="101"/>
        <v>0.003327567832144123</v>
      </c>
      <c r="P235" s="174">
        <f t="shared" si="103"/>
        <v>0.0007596790459644686</v>
      </c>
      <c r="Q235" s="179">
        <f t="shared" si="89"/>
        <v>0.0032561831365699365</v>
      </c>
      <c r="R235" s="179">
        <f t="shared" si="90"/>
        <v>0.01080860844798734</v>
      </c>
      <c r="S235" s="180">
        <f t="shared" si="91"/>
        <v>0.30125831204258924</v>
      </c>
      <c r="T235" s="179">
        <f t="shared" si="92"/>
        <v>0.9891913915520127</v>
      </c>
      <c r="U235" s="181">
        <f t="shared" si="93"/>
        <v>0.3256183136569937</v>
      </c>
    </row>
    <row r="236" spans="1:21" ht="12.75">
      <c r="A236" s="91">
        <f t="shared" si="102"/>
        <v>2003.2999999999788</v>
      </c>
      <c r="B236" s="171">
        <f t="shared" si="97"/>
        <v>45.204436286918416</v>
      </c>
      <c r="C236" s="171">
        <f t="shared" si="98"/>
        <v>0.3428225938386128</v>
      </c>
      <c r="D236" s="172">
        <f t="shared" si="99"/>
        <v>0.15107212455704017</v>
      </c>
      <c r="E236" s="171">
        <f t="shared" si="86"/>
        <v>45.69833100531407</v>
      </c>
      <c r="F236" s="171"/>
      <c r="G236" s="171">
        <f t="shared" si="94"/>
        <v>0.13652604879492605</v>
      </c>
      <c r="H236" s="171">
        <f t="shared" si="95"/>
        <v>0.13632023979519756</v>
      </c>
      <c r="I236" s="91">
        <f t="shared" si="104"/>
        <v>0.09904336771090641</v>
      </c>
      <c r="J236" s="91">
        <f t="shared" si="105"/>
        <v>29.745695056150083</v>
      </c>
      <c r="K236" s="172">
        <f t="shared" si="100"/>
        <v>0.017985462605237243</v>
      </c>
      <c r="L236" s="177">
        <f t="shared" si="87"/>
        <v>7.741009817025618</v>
      </c>
      <c r="M236" s="178">
        <f t="shared" si="88"/>
        <v>0.09833499932493991</v>
      </c>
      <c r="N236" s="403">
        <f t="shared" si="96"/>
        <v>0</v>
      </c>
      <c r="O236" s="177">
        <f t="shared" si="101"/>
        <v>0.0033496985037405613</v>
      </c>
      <c r="P236" s="174">
        <f t="shared" si="103"/>
        <v>0.0007741009817025618</v>
      </c>
      <c r="Q236" s="179">
        <f t="shared" si="89"/>
        <v>0.0033058564992115933</v>
      </c>
      <c r="R236" s="179">
        <f t="shared" si="90"/>
        <v>0.01080771895888758</v>
      </c>
      <c r="S236" s="180">
        <f t="shared" si="91"/>
        <v>0.3058792064992648</v>
      </c>
      <c r="T236" s="179">
        <f t="shared" si="92"/>
        <v>0.9891922810411125</v>
      </c>
      <c r="U236" s="181">
        <f t="shared" si="93"/>
        <v>0.33058564992115935</v>
      </c>
    </row>
    <row r="237" spans="1:21" ht="12.75">
      <c r="A237" s="91">
        <f t="shared" si="102"/>
        <v>2003.3999999999787</v>
      </c>
      <c r="B237" s="171">
        <f t="shared" si="97"/>
        <v>45.11230326570544</v>
      </c>
      <c r="C237" s="171">
        <f t="shared" si="98"/>
        <v>0.3398096968640435</v>
      </c>
      <c r="D237" s="172">
        <f t="shared" si="99"/>
        <v>0.15303703436145258</v>
      </c>
      <c r="E237" s="171">
        <f t="shared" si="86"/>
        <v>45.60514999693094</v>
      </c>
      <c r="F237" s="171"/>
      <c r="G237" s="171">
        <f t="shared" si="94"/>
        <v>0.13624766587333104</v>
      </c>
      <c r="H237" s="171">
        <f t="shared" si="95"/>
        <v>0.13603918003217605</v>
      </c>
      <c r="I237" s="91">
        <f t="shared" si="104"/>
        <v>0.09880985212979336</v>
      </c>
      <c r="J237" s="91">
        <f t="shared" si="105"/>
        <v>29.745695056150083</v>
      </c>
      <c r="K237" s="172">
        <f t="shared" si="100"/>
        <v>0.01814323946597302</v>
      </c>
      <c r="L237" s="177">
        <f t="shared" si="87"/>
        <v>7.8715954321126</v>
      </c>
      <c r="M237" s="178">
        <f t="shared" si="88"/>
        <v>0.0998175196599436</v>
      </c>
      <c r="N237" s="403">
        <f t="shared" si="96"/>
        <v>0</v>
      </c>
      <c r="O237" s="177">
        <f t="shared" si="101"/>
        <v>0.0033711459533694137</v>
      </c>
      <c r="P237" s="174">
        <f t="shared" si="103"/>
        <v>0.00078715954321126</v>
      </c>
      <c r="Q237" s="179">
        <f t="shared" si="89"/>
        <v>0.0033556963275365045</v>
      </c>
      <c r="R237" s="179">
        <f t="shared" si="90"/>
        <v>0.010806821844871969</v>
      </c>
      <c r="S237" s="180">
        <f t="shared" si="91"/>
        <v>0.3105164844675257</v>
      </c>
      <c r="T237" s="179">
        <f t="shared" si="92"/>
        <v>0.989193178155128</v>
      </c>
      <c r="U237" s="181">
        <f t="shared" si="93"/>
        <v>0.3355696327536504</v>
      </c>
    </row>
    <row r="238" spans="1:21" ht="12.75">
      <c r="A238" s="91">
        <f t="shared" si="102"/>
        <v>2003.4999999999786</v>
      </c>
      <c r="B238" s="171">
        <f t="shared" si="97"/>
        <v>45.02031182836712</v>
      </c>
      <c r="C238" s="171">
        <f t="shared" si="98"/>
        <v>0.3368002637810165</v>
      </c>
      <c r="D238" s="172">
        <f t="shared" si="99"/>
        <v>0.1550014139356085</v>
      </c>
      <c r="E238" s="171">
        <f t="shared" si="86"/>
        <v>45.51211350608374</v>
      </c>
      <c r="F238" s="171"/>
      <c r="G238" s="171">
        <f t="shared" si="94"/>
        <v>0.13596971470510053</v>
      </c>
      <c r="H238" s="171">
        <f t="shared" si="95"/>
        <v>0.1357585527448638</v>
      </c>
      <c r="I238" s="91">
        <f t="shared" si="104"/>
        <v>0.09857752841950315</v>
      </c>
      <c r="J238" s="91">
        <f t="shared" si="105"/>
        <v>29.745695056150083</v>
      </c>
      <c r="K238" s="172">
        <f t="shared" si="100"/>
        <v>0.018303744672008373</v>
      </c>
      <c r="L238" s="177">
        <f t="shared" si="87"/>
        <v>8.018909655288713</v>
      </c>
      <c r="M238" s="178">
        <f t="shared" si="88"/>
        <v>0.10130544237600363</v>
      </c>
      <c r="N238" s="403">
        <f t="shared" si="96"/>
        <v>0</v>
      </c>
      <c r="O238" s="177">
        <f t="shared" si="101"/>
        <v>0.0033918961097366136</v>
      </c>
      <c r="P238" s="174">
        <f t="shared" si="103"/>
        <v>0.0008018909655288712</v>
      </c>
      <c r="Q238" s="179">
        <f t="shared" si="89"/>
        <v>0.0034057177747829487</v>
      </c>
      <c r="R238" s="179">
        <f t="shared" si="90"/>
        <v>0.01080595120353803</v>
      </c>
      <c r="S238" s="180">
        <f t="shared" si="91"/>
        <v>0.3151705676468228</v>
      </c>
      <c r="T238" s="179">
        <f t="shared" si="92"/>
        <v>0.989194048796462</v>
      </c>
      <c r="U238" s="181">
        <f t="shared" si="93"/>
        <v>0.34057177747829487</v>
      </c>
    </row>
    <row r="239" spans="1:21" ht="12.75">
      <c r="A239" s="91">
        <f t="shared" si="102"/>
        <v>2003.5999999999785</v>
      </c>
      <c r="B239" s="171">
        <f t="shared" si="97"/>
        <v>44.928462956969305</v>
      </c>
      <c r="C239" s="171">
        <f t="shared" si="98"/>
        <v>0.33379456893308557</v>
      </c>
      <c r="D239" s="172">
        <f t="shared" si="99"/>
        <v>0.1569629163427211</v>
      </c>
      <c r="E239" s="171">
        <f t="shared" si="86"/>
        <v>45.41922044224511</v>
      </c>
      <c r="F239" s="171"/>
      <c r="G239" s="171">
        <f t="shared" si="94"/>
        <v>0.1356921920322294</v>
      </c>
      <c r="H239" s="171">
        <f t="shared" si="95"/>
        <v>0.13547835787254123</v>
      </c>
      <c r="I239" s="91">
        <f t="shared" si="104"/>
        <v>0.09834639175126786</v>
      </c>
      <c r="J239" s="91">
        <f t="shared" si="105"/>
        <v>29.745695056150083</v>
      </c>
      <c r="K239" s="172">
        <f t="shared" si="100"/>
        <v>0.01846084561957128</v>
      </c>
      <c r="L239" s="177">
        <f t="shared" si="87"/>
        <v>8.168319208893326</v>
      </c>
      <c r="M239" s="178">
        <f t="shared" si="88"/>
        <v>0.10279725189452828</v>
      </c>
      <c r="N239" s="403">
        <f t="shared" si="96"/>
        <v>0</v>
      </c>
      <c r="O239" s="177">
        <f t="shared" si="101"/>
        <v>0.0034119699714690588</v>
      </c>
      <c r="P239" s="174">
        <f t="shared" si="103"/>
        <v>0.0008168319208893325</v>
      </c>
      <c r="Q239" s="179">
        <f t="shared" si="89"/>
        <v>0.003455869889759876</v>
      </c>
      <c r="R239" s="179">
        <f t="shared" si="90"/>
        <v>0.010805061832795034</v>
      </c>
      <c r="S239" s="180">
        <f t="shared" si="91"/>
        <v>0.31983804842937374</v>
      </c>
      <c r="T239" s="179">
        <f t="shared" si="92"/>
        <v>0.9891949381672049</v>
      </c>
      <c r="U239" s="181">
        <f t="shared" si="93"/>
        <v>0.3455869889759876</v>
      </c>
    </row>
    <row r="240" spans="1:21" ht="12.75">
      <c r="A240" s="91">
        <f t="shared" si="102"/>
        <v>2003.6999999999784</v>
      </c>
      <c r="B240" s="171">
        <f t="shared" si="97"/>
        <v>44.836756822204165</v>
      </c>
      <c r="C240" s="171">
        <f t="shared" si="98"/>
        <v>0.33079373906976883</v>
      </c>
      <c r="D240" s="172">
        <f t="shared" si="99"/>
        <v>0.1589206166939177</v>
      </c>
      <c r="E240" s="171">
        <f t="shared" si="86"/>
        <v>45.32647117796785</v>
      </c>
      <c r="F240" s="171"/>
      <c r="G240" s="171">
        <f t="shared" si="94"/>
        <v>0.13541509896773787</v>
      </c>
      <c r="H240" s="171">
        <f t="shared" si="95"/>
        <v>0.1351985977882257</v>
      </c>
      <c r="I240" s="91">
        <f t="shared" si="104"/>
        <v>0.09811643731438803</v>
      </c>
      <c r="J240" s="91">
        <f t="shared" si="105"/>
        <v>29.745695056150083</v>
      </c>
      <c r="K240" s="172">
        <f t="shared" si="100"/>
        <v>0.01862269204659172</v>
      </c>
      <c r="L240" s="177">
        <f t="shared" si="87"/>
        <v>8.319625101280955</v>
      </c>
      <c r="M240" s="178">
        <f t="shared" si="88"/>
        <v>0.10429235013138138</v>
      </c>
      <c r="N240" s="403">
        <f t="shared" si="96"/>
        <v>0</v>
      </c>
      <c r="O240" s="177">
        <f t="shared" si="101"/>
        <v>0.0034313164383639877</v>
      </c>
      <c r="P240" s="174">
        <f t="shared" si="103"/>
        <v>0.0008319625101280955</v>
      </c>
      <c r="Q240" s="179">
        <f t="shared" si="89"/>
        <v>0.003506132565889341</v>
      </c>
      <c r="R240" s="179">
        <f t="shared" si="90"/>
        <v>0.010804157990612013</v>
      </c>
      <c r="S240" s="180">
        <f t="shared" si="91"/>
        <v>0.32451696549938475</v>
      </c>
      <c r="T240" s="179">
        <f t="shared" si="92"/>
        <v>0.9891958420093879</v>
      </c>
      <c r="U240" s="181">
        <f t="shared" si="93"/>
        <v>0.3506132565889341</v>
      </c>
    </row>
    <row r="241" spans="1:21" ht="12.75">
      <c r="A241" s="91">
        <f t="shared" si="102"/>
        <v>2003.7999999999784</v>
      </c>
      <c r="B241" s="171">
        <f t="shared" si="97"/>
        <v>44.74519365919934</v>
      </c>
      <c r="C241" s="171">
        <f t="shared" si="98"/>
        <v>0.32779883614822913</v>
      </c>
      <c r="D241" s="172">
        <f t="shared" si="99"/>
        <v>0.16087360400473952</v>
      </c>
      <c r="E241" s="171">
        <f t="shared" si="86"/>
        <v>45.233866099352305</v>
      </c>
      <c r="F241" s="171"/>
      <c r="G241" s="171">
        <f t="shared" si="94"/>
        <v>0.13513843666512002</v>
      </c>
      <c r="H241" s="171">
        <f t="shared" si="95"/>
        <v>0.13491927488646616</v>
      </c>
      <c r="I241" s="91">
        <f t="shared" si="104"/>
        <v>0.09788766031611576</v>
      </c>
      <c r="J241" s="91">
        <f t="shared" si="105"/>
        <v>29.745695056150083</v>
      </c>
      <c r="K241" s="172">
        <f t="shared" si="100"/>
        <v>0.018788597935135383</v>
      </c>
      <c r="L241" s="177">
        <f t="shared" si="87"/>
        <v>8.472826255233082</v>
      </c>
      <c r="M241" s="178">
        <f t="shared" si="88"/>
        <v>0.1057901430931933</v>
      </c>
      <c r="N241" s="403">
        <f t="shared" si="96"/>
        <v>0</v>
      </c>
      <c r="O241" s="177">
        <f t="shared" si="101"/>
        <v>0.0034499256456333146</v>
      </c>
      <c r="P241" s="174">
        <f t="shared" si="103"/>
        <v>0.0008472826255233083</v>
      </c>
      <c r="Q241" s="179">
        <f t="shared" si="89"/>
        <v>0.003556485834118058</v>
      </c>
      <c r="R241" s="179">
        <f t="shared" si="90"/>
        <v>0.010803242841981305</v>
      </c>
      <c r="S241" s="180">
        <f t="shared" si="91"/>
        <v>0.3292053956519042</v>
      </c>
      <c r="T241" s="179">
        <f t="shared" si="92"/>
        <v>0.9891967571580187</v>
      </c>
      <c r="U241" s="181">
        <f t="shared" si="93"/>
        <v>0.3556485834118058</v>
      </c>
    </row>
    <row r="242" spans="1:21" ht="12.75">
      <c r="A242" s="91">
        <f t="shared" si="102"/>
        <v>2003.8999999999783</v>
      </c>
      <c r="B242" s="171">
        <f t="shared" si="97"/>
        <v>44.65377374915293</v>
      </c>
      <c r="C242" s="171">
        <f t="shared" si="98"/>
        <v>0.3248108748678998</v>
      </c>
      <c r="D242" s="172">
        <f t="shared" si="99"/>
        <v>0.16282096219521985</v>
      </c>
      <c r="E242" s="171">
        <f t="shared" si="86"/>
        <v>45.14140558621605</v>
      </c>
      <c r="F242" s="171"/>
      <c r="G242" s="171">
        <f t="shared" si="94"/>
        <v>0.13486220625909978</v>
      </c>
      <c r="H242" s="171">
        <f t="shared" si="95"/>
        <v>0.13464039154998328</v>
      </c>
      <c r="I242" s="91">
        <f t="shared" si="104"/>
        <v>0.09766005598153658</v>
      </c>
      <c r="J242" s="91">
        <f t="shared" si="105"/>
        <v>29.745695056150083</v>
      </c>
      <c r="K242" s="172">
        <f t="shared" si="100"/>
        <v>0.01895805602958276</v>
      </c>
      <c r="L242" s="177">
        <f t="shared" si="87"/>
        <v>8.627920151558719</v>
      </c>
      <c r="M242" s="178">
        <f t="shared" si="88"/>
        <v>0.10729002846306654</v>
      </c>
      <c r="N242" s="403">
        <f t="shared" si="96"/>
        <v>0</v>
      </c>
      <c r="O242" s="177">
        <f t="shared" si="101"/>
        <v>0.0034677885781903388</v>
      </c>
      <c r="P242" s="174">
        <f t="shared" si="103"/>
        <v>0.0008627920151558718</v>
      </c>
      <c r="Q242" s="179">
        <f t="shared" si="89"/>
        <v>0.0036069094455697965</v>
      </c>
      <c r="R242" s="179">
        <f t="shared" si="90"/>
        <v>0.010802318419876987</v>
      </c>
      <c r="S242" s="180">
        <f t="shared" si="91"/>
        <v>0.33390141869293927</v>
      </c>
      <c r="T242" s="179">
        <f t="shared" si="92"/>
        <v>0.989197681580123</v>
      </c>
      <c r="U242" s="181">
        <f t="shared" si="93"/>
        <v>0.36069094455697964</v>
      </c>
    </row>
    <row r="243" spans="1:23" ht="12.75">
      <c r="A243" s="91">
        <f t="shared" si="102"/>
        <v>2003.9999999999782</v>
      </c>
      <c r="B243" s="171">
        <f t="shared" si="97"/>
        <v>44.56249734273417</v>
      </c>
      <c r="C243" s="171">
        <f t="shared" si="98"/>
        <v>0.3218308405330107</v>
      </c>
      <c r="D243" s="172">
        <f t="shared" si="99"/>
        <v>0.16476177083542315</v>
      </c>
      <c r="E243" s="171">
        <f t="shared" si="86"/>
        <v>45.049089954102605</v>
      </c>
      <c r="F243" s="171"/>
      <c r="G243" s="171">
        <f t="shared" si="94"/>
        <v>0.13458640869237926</v>
      </c>
      <c r="H243" s="171">
        <f t="shared" si="95"/>
        <v>0.13436194997540177</v>
      </c>
      <c r="I243" s="91">
        <f t="shared" si="104"/>
        <v>0.09743356137393512</v>
      </c>
      <c r="J243" s="91">
        <f t="shared" si="105"/>
        <v>29.745695056150083</v>
      </c>
      <c r="K243" s="172">
        <f t="shared" si="100"/>
        <v>0.019130752772180404</v>
      </c>
      <c r="L243" s="177">
        <f t="shared" si="87"/>
        <v>8.78490118181847</v>
      </c>
      <c r="M243" s="178">
        <f t="shared" si="88"/>
        <v>0.10879139616749241</v>
      </c>
      <c r="N243" s="403">
        <f t="shared" si="96"/>
        <v>0</v>
      </c>
      <c r="O243" s="177">
        <f t="shared" si="101"/>
        <v>0.0034848968009690514</v>
      </c>
      <c r="P243" s="174">
        <f t="shared" si="103"/>
        <v>0.000878490118181847</v>
      </c>
      <c r="Q243" s="179">
        <f t="shared" si="89"/>
        <v>0.003657382890604172</v>
      </c>
      <c r="R243" s="179">
        <f t="shared" si="90"/>
        <v>0.010801386040521336</v>
      </c>
      <c r="S243" s="180">
        <f t="shared" si="91"/>
        <v>0.33860310860879533</v>
      </c>
      <c r="T243" s="179">
        <f t="shared" si="92"/>
        <v>0.9891986139594786</v>
      </c>
      <c r="U243" s="181">
        <f t="shared" si="93"/>
        <v>0.36573828906041717</v>
      </c>
      <c r="V243">
        <f>IF(ISNUMBER('Set-up'!$N$31)=FALSE,"",('Set-up'!$N$31-'EPP model'!U243)^2)</f>
      </c>
      <c r="W243" t="e">
        <f>IF(ISNUMBER('Set-up'!$N$31)=FALSE,NA()=FALSE,('Set-up'!$N$31))</f>
        <v>#N/A</v>
      </c>
    </row>
    <row r="244" spans="1:21" ht="12.75">
      <c r="A244" s="91">
        <f t="shared" si="102"/>
        <v>2004.099999999978</v>
      </c>
      <c r="B244" s="171">
        <f t="shared" si="97"/>
        <v>44.471364819035344</v>
      </c>
      <c r="C244" s="171">
        <f t="shared" si="98"/>
        <v>0.3188597040607073</v>
      </c>
      <c r="D244" s="172">
        <f t="shared" si="99"/>
        <v>0.1666951062408026</v>
      </c>
      <c r="E244" s="171">
        <f t="shared" si="86"/>
        <v>44.95691962933685</v>
      </c>
      <c r="F244" s="171"/>
      <c r="G244" s="171">
        <f t="shared" si="94"/>
        <v>0.13431104523862533</v>
      </c>
      <c r="H244" s="171">
        <f t="shared" si="95"/>
        <v>0.13408395269474507</v>
      </c>
      <c r="I244" s="91">
        <f t="shared" si="104"/>
        <v>0.09720828803420312</v>
      </c>
      <c r="J244" s="91">
        <f t="shared" si="105"/>
        <v>29.745695056150083</v>
      </c>
      <c r="K244" s="172">
        <f t="shared" si="100"/>
        <v>0.019306498272750057</v>
      </c>
      <c r="L244" s="177">
        <f t="shared" si="87"/>
        <v>8.943763205896222</v>
      </c>
      <c r="M244" s="178">
        <f t="shared" si="88"/>
        <v>0.11029362862209507</v>
      </c>
      <c r="N244" s="403">
        <f t="shared" si="96"/>
        <v>0</v>
      </c>
      <c r="O244" s="177">
        <f t="shared" si="101"/>
        <v>0.003501242647134384</v>
      </c>
      <c r="P244" s="174">
        <f t="shared" si="103"/>
        <v>0.0008943763205896222</v>
      </c>
      <c r="Q244" s="179">
        <f t="shared" si="89"/>
        <v>0.0037078854070781335</v>
      </c>
      <c r="R244" s="179">
        <f t="shared" si="90"/>
        <v>0.010800446612108602</v>
      </c>
      <c r="S244" s="180">
        <f t="shared" si="91"/>
        <v>0.34330852604939016</v>
      </c>
      <c r="T244" s="179">
        <f t="shared" si="92"/>
        <v>0.9891995533878915</v>
      </c>
      <c r="U244" s="181">
        <f t="shared" si="93"/>
        <v>0.37078854070781336</v>
      </c>
    </row>
    <row r="245" spans="1:21" ht="12.75">
      <c r="A245" s="91">
        <f t="shared" si="102"/>
        <v>2004.199999999978</v>
      </c>
      <c r="B245" s="171">
        <f t="shared" si="97"/>
        <v>44.380376507209206</v>
      </c>
      <c r="C245" s="171">
        <f t="shared" si="98"/>
        <v>0.31589842480639047</v>
      </c>
      <c r="D245" s="172">
        <f t="shared" si="99"/>
        <v>0.1686200424673571</v>
      </c>
      <c r="E245" s="171">
        <f t="shared" si="86"/>
        <v>44.86489497448296</v>
      </c>
      <c r="F245" s="171"/>
      <c r="G245" s="171">
        <f t="shared" si="94"/>
        <v>0.13403611698101658</v>
      </c>
      <c r="H245" s="171">
        <f t="shared" si="95"/>
        <v>0.1338064020526263</v>
      </c>
      <c r="I245" s="91">
        <f t="shared" si="104"/>
        <v>0.09698417337145432</v>
      </c>
      <c r="J245" s="91">
        <f t="shared" si="105"/>
        <v>29.745695056150083</v>
      </c>
      <c r="K245" s="172">
        <f t="shared" si="100"/>
        <v>0.019485172909118737</v>
      </c>
      <c r="L245" s="177">
        <f t="shared" si="87"/>
        <v>9.104498460439647</v>
      </c>
      <c r="M245" s="178">
        <f t="shared" si="88"/>
        <v>0.11179610175041728</v>
      </c>
      <c r="N245" s="403">
        <f t="shared" si="96"/>
        <v>0</v>
      </c>
      <c r="O245" s="177">
        <f t="shared" si="101"/>
        <v>0.0035168193782222795</v>
      </c>
      <c r="P245" s="174">
        <f t="shared" si="103"/>
        <v>0.0009104498460439647</v>
      </c>
      <c r="Q245" s="179">
        <f t="shared" si="89"/>
        <v>0.003758396014595827</v>
      </c>
      <c r="R245" s="179">
        <f t="shared" si="90"/>
        <v>0.010799500757759912</v>
      </c>
      <c r="S245" s="180">
        <f t="shared" si="91"/>
        <v>0.3480157184020989</v>
      </c>
      <c r="T245" s="179">
        <f t="shared" si="92"/>
        <v>0.98920049924224</v>
      </c>
      <c r="U245" s="181">
        <f t="shared" si="93"/>
        <v>0.3758396014595827</v>
      </c>
    </row>
    <row r="246" spans="1:21" ht="12.75">
      <c r="A246" s="91">
        <f t="shared" si="102"/>
        <v>2004.299999999978</v>
      </c>
      <c r="B246" s="171">
        <f t="shared" si="97"/>
        <v>44.2895327383412</v>
      </c>
      <c r="C246" s="171">
        <f t="shared" si="98"/>
        <v>0.3129479556580988</v>
      </c>
      <c r="D246" s="172">
        <f t="shared" si="99"/>
        <v>0.17053565247188565</v>
      </c>
      <c r="E246" s="171">
        <f aca="true" t="shared" si="106" ref="E246:E309">B246+C246+D246</f>
        <v>44.77301634647118</v>
      </c>
      <c r="F246" s="171"/>
      <c r="G246" s="171">
        <f t="shared" si="94"/>
        <v>0.1337616249859</v>
      </c>
      <c r="H246" s="171">
        <f t="shared" si="95"/>
        <v>0.13352930037832467</v>
      </c>
      <c r="I246" s="91">
        <f t="shared" si="104"/>
        <v>0.0967612124925766</v>
      </c>
      <c r="J246" s="91">
        <f t="shared" si="105"/>
        <v>29.745695056150083</v>
      </c>
      <c r="K246" s="172">
        <f t="shared" si="100"/>
        <v>0.019666706833535736</v>
      </c>
      <c r="L246" s="177">
        <f aca="true" t="shared" si="107" ref="L246:L309">phi*P246</f>
        <v>9.267097665060819</v>
      </c>
      <c r="M246" s="178">
        <f aca="true" t="shared" si="108" ref="M246:M309">MIN(1,J246*D246/E246)</f>
        <v>0.11329818557176809</v>
      </c>
      <c r="N246" s="403">
        <f t="shared" si="96"/>
        <v>0</v>
      </c>
      <c r="O246" s="177">
        <f t="shared" si="101"/>
        <v>0.003531621244245177</v>
      </c>
      <c r="P246" s="174">
        <f t="shared" si="103"/>
        <v>0.0009267097665060819</v>
      </c>
      <c r="Q246" s="179">
        <f aca="true" t="shared" si="109" ref="Q246:Q309">D246/E246</f>
        <v>0.0038088935342710396</v>
      </c>
      <c r="R246" s="179">
        <f aca="true" t="shared" si="110" ref="R246:R309">(C246+D246)/E246</f>
        <v>0.01079854893823991</v>
      </c>
      <c r="S246" s="180">
        <f aca="true" t="shared" si="111" ref="S246:S309">D246/(C246+D246)</f>
        <v>0.3527227182147552</v>
      </c>
      <c r="T246" s="179">
        <f aca="true" t="shared" si="112" ref="T246:T309">B246/E246</f>
        <v>0.9892014510617602</v>
      </c>
      <c r="U246" s="181">
        <f aca="true" t="shared" si="113" ref="U246:U309">Q246*100</f>
        <v>0.38088935342710395</v>
      </c>
    </row>
    <row r="247" spans="1:21" ht="12.75">
      <c r="A247" s="91">
        <f t="shared" si="102"/>
        <v>2004.3999999999778</v>
      </c>
      <c r="B247" s="171">
        <f t="shared" si="97"/>
        <v>44.19883384284463</v>
      </c>
      <c r="C247" s="171">
        <f t="shared" si="98"/>
        <v>0.31000924480809255</v>
      </c>
      <c r="D247" s="172">
        <f t="shared" si="99"/>
        <v>0.17244100932852058</v>
      </c>
      <c r="E247" s="171">
        <f t="shared" si="106"/>
        <v>44.681284096981244</v>
      </c>
      <c r="F247" s="171"/>
      <c r="G247" s="171">
        <f t="shared" si="94"/>
        <v>0.13348757030393632</v>
      </c>
      <c r="H247" s="171">
        <f t="shared" si="95"/>
        <v>0.13325264998527306</v>
      </c>
      <c r="I247" s="91">
        <f t="shared" si="104"/>
        <v>0.09653940071246113</v>
      </c>
      <c r="J247" s="91">
        <f t="shared" si="105"/>
        <v>29.745695056150083</v>
      </c>
      <c r="K247" s="172">
        <f t="shared" si="100"/>
        <v>0.019851058392949324</v>
      </c>
      <c r="L247" s="177">
        <f t="shared" si="107"/>
        <v>9.431550108599295</v>
      </c>
      <c r="M247" s="178">
        <f t="shared" si="108"/>
        <v>0.11479924497083682</v>
      </c>
      <c r="N247" s="403">
        <f t="shared" si="96"/>
        <v>0</v>
      </c>
      <c r="O247" s="177">
        <f t="shared" si="101"/>
        <v>0.0035456435554456728</v>
      </c>
      <c r="P247" s="174">
        <f t="shared" si="103"/>
        <v>0.0009431550108599295</v>
      </c>
      <c r="Q247" s="179">
        <f t="shared" si="109"/>
        <v>0.0038593566146003185</v>
      </c>
      <c r="R247" s="179">
        <f t="shared" si="110"/>
        <v>0.010797591517053298</v>
      </c>
      <c r="S247" s="180">
        <f t="shared" si="111"/>
        <v>0.3574275437726089</v>
      </c>
      <c r="T247" s="179">
        <f t="shared" si="112"/>
        <v>0.9892024084829466</v>
      </c>
      <c r="U247" s="181">
        <f t="shared" si="113"/>
        <v>0.38593566146003183</v>
      </c>
    </row>
    <row r="248" spans="1:21" ht="12.75">
      <c r="A248" s="91">
        <f t="shared" si="102"/>
        <v>2004.4999999999777</v>
      </c>
      <c r="B248" s="171">
        <f t="shared" si="97"/>
        <v>44.108280148816746</v>
      </c>
      <c r="C248" s="171">
        <f t="shared" si="98"/>
        <v>0.3070832363347919</v>
      </c>
      <c r="D248" s="172">
        <f t="shared" si="99"/>
        <v>0.1743351874730422</v>
      </c>
      <c r="E248" s="171">
        <f t="shared" si="106"/>
        <v>44.58969857262458</v>
      </c>
      <c r="F248" s="171"/>
      <c r="G248" s="171">
        <f t="shared" si="94"/>
        <v>0.1332139539706446</v>
      </c>
      <c r="H248" s="171">
        <f t="shared" si="95"/>
        <v>0.13297645316990778</v>
      </c>
      <c r="I248" s="91">
        <f t="shared" si="104"/>
        <v>0.09631873336329075</v>
      </c>
      <c r="J248" s="91">
        <f t="shared" si="105"/>
        <v>29.745695056150083</v>
      </c>
      <c r="K248" s="172">
        <f t="shared" si="100"/>
        <v>0.020038202656089146</v>
      </c>
      <c r="L248" s="177">
        <f t="shared" si="107"/>
        <v>9.583686285523969</v>
      </c>
      <c r="M248" s="178">
        <f t="shared" si="108"/>
        <v>0.11629864049616144</v>
      </c>
      <c r="N248" s="403">
        <f t="shared" si="96"/>
        <v>0</v>
      </c>
      <c r="O248" s="177">
        <f t="shared" si="101"/>
        <v>0.003558882723794834</v>
      </c>
      <c r="P248" s="174">
        <f t="shared" si="103"/>
        <v>0.0009583686285523969</v>
      </c>
      <c r="Q248" s="179">
        <f t="shared" si="109"/>
        <v>0.003909763758306131</v>
      </c>
      <c r="R248" s="179">
        <f t="shared" si="110"/>
        <v>0.010796628800343502</v>
      </c>
      <c r="S248" s="180">
        <f t="shared" si="111"/>
        <v>0.3621282004417656</v>
      </c>
      <c r="T248" s="179">
        <f t="shared" si="112"/>
        <v>0.9892033711996565</v>
      </c>
      <c r="U248" s="181">
        <f t="shared" si="113"/>
        <v>0.39097637583061307</v>
      </c>
    </row>
    <row r="249" spans="1:21" ht="12.75">
      <c r="A249" s="91">
        <f t="shared" si="102"/>
        <v>2004.5999999999776</v>
      </c>
      <c r="B249" s="171">
        <f t="shared" si="97"/>
        <v>44.01787198110515</v>
      </c>
      <c r="C249" s="171">
        <f t="shared" si="98"/>
        <v>0.3041708700510768</v>
      </c>
      <c r="D249" s="172">
        <f t="shared" si="99"/>
        <v>0.1762186797058444</v>
      </c>
      <c r="E249" s="171">
        <f t="shared" si="106"/>
        <v>44.498261530862074</v>
      </c>
      <c r="F249" s="171"/>
      <c r="G249" s="171">
        <f t="shared" si="94"/>
        <v>0.132940781236527</v>
      </c>
      <c r="H249" s="171">
        <f t="shared" si="95"/>
        <v>0.13270071451137783</v>
      </c>
      <c r="I249" s="91">
        <f t="shared" si="104"/>
        <v>0.09609920579425744</v>
      </c>
      <c r="J249" s="91">
        <f t="shared" si="105"/>
        <v>29.745695056150083</v>
      </c>
      <c r="K249" s="172">
        <f t="shared" si="100"/>
        <v>0.020228124287984556</v>
      </c>
      <c r="L249" s="177">
        <f t="shared" si="107"/>
        <v>9.751111209066481</v>
      </c>
      <c r="M249" s="178">
        <f t="shared" si="108"/>
        <v>0.1177966718113691</v>
      </c>
      <c r="N249" s="403">
        <f t="shared" si="96"/>
        <v>0</v>
      </c>
      <c r="O249" s="177">
        <f t="shared" si="101"/>
        <v>0.0035713362904897746</v>
      </c>
      <c r="P249" s="174">
        <f t="shared" si="103"/>
        <v>0.0009751111209066482</v>
      </c>
      <c r="Q249" s="179">
        <f t="shared" si="109"/>
        <v>0.003960125039573214</v>
      </c>
      <c r="R249" s="179">
        <f t="shared" si="110"/>
        <v>0.010795692533375572</v>
      </c>
      <c r="S249" s="180">
        <f t="shared" si="111"/>
        <v>0.36682454852527846</v>
      </c>
      <c r="T249" s="179">
        <f t="shared" si="112"/>
        <v>0.9892043074666245</v>
      </c>
      <c r="U249" s="181">
        <f t="shared" si="113"/>
        <v>0.39601250395732135</v>
      </c>
    </row>
    <row r="250" spans="1:21" ht="12.75">
      <c r="A250" s="91">
        <f t="shared" si="102"/>
        <v>2004.6999999999775</v>
      </c>
      <c r="B250" s="171">
        <f t="shared" si="97"/>
        <v>43.927610264351124</v>
      </c>
      <c r="C250" s="171">
        <f t="shared" si="98"/>
        <v>0.30127244869060504</v>
      </c>
      <c r="D250" s="172">
        <f t="shared" si="99"/>
        <v>0.178089243623828</v>
      </c>
      <c r="E250" s="171">
        <f t="shared" si="106"/>
        <v>44.40697195666556</v>
      </c>
      <c r="F250" s="171"/>
      <c r="G250" s="171">
        <f t="shared" si="94"/>
        <v>0.1326680490691362</v>
      </c>
      <c r="H250" s="171">
        <f t="shared" si="95"/>
        <v>0.13242543403211268</v>
      </c>
      <c r="I250" s="91">
        <f t="shared" si="104"/>
        <v>0.0958808133714567</v>
      </c>
      <c r="J250" s="91">
        <f t="shared" si="105"/>
        <v>29.745695056150083</v>
      </c>
      <c r="K250" s="172">
        <f t="shared" si="100"/>
        <v>0.02041451845558291</v>
      </c>
      <c r="L250" s="177">
        <f t="shared" si="107"/>
        <v>9.920540540360378</v>
      </c>
      <c r="M250" s="178">
        <f t="shared" si="108"/>
        <v>0.1192918161315807</v>
      </c>
      <c r="N250" s="403">
        <f t="shared" si="96"/>
        <v>0</v>
      </c>
      <c r="O250" s="177">
        <f t="shared" si="101"/>
        <v>0.0035830316153985294</v>
      </c>
      <c r="P250" s="174">
        <f t="shared" si="103"/>
        <v>0.0009920540540360378</v>
      </c>
      <c r="Q250" s="179">
        <f t="shared" si="109"/>
        <v>0.004010389264947315</v>
      </c>
      <c r="R250" s="179">
        <f t="shared" si="110"/>
        <v>0.010794739456277656</v>
      </c>
      <c r="S250" s="180">
        <f t="shared" si="111"/>
        <v>0.3715132987869459</v>
      </c>
      <c r="T250" s="179">
        <f t="shared" si="112"/>
        <v>0.9892052605437223</v>
      </c>
      <c r="U250" s="181">
        <f t="shared" si="113"/>
        <v>0.40103892649473144</v>
      </c>
    </row>
    <row r="251" spans="1:21" ht="12.75">
      <c r="A251" s="91">
        <f t="shared" si="102"/>
        <v>2004.7999999999774</v>
      </c>
      <c r="B251" s="171">
        <f t="shared" si="97"/>
        <v>43.83749508904356</v>
      </c>
      <c r="C251" s="171">
        <f t="shared" si="98"/>
        <v>0.2983891343296263</v>
      </c>
      <c r="D251" s="172">
        <f t="shared" si="99"/>
        <v>0.17994593969767816</v>
      </c>
      <c r="E251" s="171">
        <f t="shared" si="106"/>
        <v>44.31583016307086</v>
      </c>
      <c r="F251" s="171"/>
      <c r="G251" s="171">
        <f t="shared" si="94"/>
        <v>0.13239575840368237</v>
      </c>
      <c r="H251" s="171">
        <f t="shared" si="95"/>
        <v>0.1321506139472648</v>
      </c>
      <c r="I251" s="91">
        <f t="shared" si="104"/>
        <v>0.09566355147777995</v>
      </c>
      <c r="J251" s="91">
        <f t="shared" si="105"/>
        <v>29.745695056150083</v>
      </c>
      <c r="K251" s="172">
        <f t="shared" si="100"/>
        <v>0.020605986297956267</v>
      </c>
      <c r="L251" s="177">
        <f t="shared" si="107"/>
        <v>10.091731361130389</v>
      </c>
      <c r="M251" s="178">
        <f t="shared" si="108"/>
        <v>0.12078340920486542</v>
      </c>
      <c r="N251" s="403">
        <f t="shared" si="96"/>
        <v>0</v>
      </c>
      <c r="O251" s="177">
        <f t="shared" si="101"/>
        <v>0.003593933755471074</v>
      </c>
      <c r="P251" s="174">
        <f t="shared" si="103"/>
        <v>0.001009173136113039</v>
      </c>
      <c r="Q251" s="179">
        <f t="shared" si="109"/>
        <v>0.00406053410340105</v>
      </c>
      <c r="R251" s="179">
        <f t="shared" si="110"/>
        <v>0.010793774420272718</v>
      </c>
      <c r="S251" s="180">
        <f t="shared" si="111"/>
        <v>0.37619223316123884</v>
      </c>
      <c r="T251" s="179">
        <f t="shared" si="112"/>
        <v>0.9892062255797273</v>
      </c>
      <c r="U251" s="181">
        <f t="shared" si="113"/>
        <v>0.406053410340105</v>
      </c>
    </row>
    <row r="252" spans="1:21" ht="12.75">
      <c r="A252" s="91">
        <f t="shared" si="102"/>
        <v>2004.8999999999774</v>
      </c>
      <c r="B252" s="171">
        <f t="shared" si="97"/>
        <v>43.74752662746444</v>
      </c>
      <c r="C252" s="171">
        <f t="shared" si="98"/>
        <v>0.29552199442905186</v>
      </c>
      <c r="D252" s="172">
        <f t="shared" si="99"/>
        <v>0.18178785960190016</v>
      </c>
      <c r="E252" s="171">
        <f t="shared" si="106"/>
        <v>44.22483648149539</v>
      </c>
      <c r="F252" s="171"/>
      <c r="G252" s="171">
        <f t="shared" si="94"/>
        <v>0.13212391023029155</v>
      </c>
      <c r="H252" s="171">
        <f t="shared" si="95"/>
        <v>0.1318762564843927</v>
      </c>
      <c r="I252" s="91">
        <f t="shared" si="104"/>
        <v>0.09544741551280563</v>
      </c>
      <c r="J252" s="91">
        <f t="shared" si="105"/>
        <v>29.745695056150083</v>
      </c>
      <c r="K252" s="172">
        <f t="shared" si="100"/>
        <v>0.020801647551693316</v>
      </c>
      <c r="L252" s="177">
        <f t="shared" si="107"/>
        <v>10.264670345614684</v>
      </c>
      <c r="M252" s="178">
        <f t="shared" si="108"/>
        <v>0.1222708022649427</v>
      </c>
      <c r="N252" s="403">
        <f t="shared" si="96"/>
        <v>0</v>
      </c>
      <c r="O252" s="177">
        <f t="shared" si="101"/>
        <v>0.0036040456914020816</v>
      </c>
      <c r="P252" s="174">
        <f t="shared" si="103"/>
        <v>0.0010264670345614684</v>
      </c>
      <c r="Q252" s="179">
        <f t="shared" si="109"/>
        <v>0.00411053774450843</v>
      </c>
      <c r="R252" s="179">
        <f t="shared" si="110"/>
        <v>0.010792800878544088</v>
      </c>
      <c r="S252" s="180">
        <f t="shared" si="111"/>
        <v>0.38085922188003224</v>
      </c>
      <c r="T252" s="179">
        <f t="shared" si="112"/>
        <v>0.9892071991214559</v>
      </c>
      <c r="U252" s="181">
        <f t="shared" si="113"/>
        <v>0.41105377445084296</v>
      </c>
    </row>
    <row r="253" spans="1:23" ht="12.75">
      <c r="A253" s="91">
        <f t="shared" si="102"/>
        <v>2004.9999999999773</v>
      </c>
      <c r="B253" s="171">
        <f t="shared" si="97"/>
        <v>43.65770510842567</v>
      </c>
      <c r="C253" s="171">
        <f t="shared" si="98"/>
        <v>0.2926720264371444</v>
      </c>
      <c r="D253" s="172">
        <f t="shared" si="99"/>
        <v>0.1836141038556924</v>
      </c>
      <c r="E253" s="171">
        <f t="shared" si="106"/>
        <v>44.1339912387185</v>
      </c>
      <c r="F253" s="171"/>
      <c r="G253" s="171">
        <f t="shared" si="94"/>
        <v>0.13185250552523348</v>
      </c>
      <c r="H253" s="171">
        <f t="shared" si="95"/>
        <v>0.1316023638451493</v>
      </c>
      <c r="I253" s="91">
        <f t="shared" si="104"/>
        <v>0.09523240089268922</v>
      </c>
      <c r="J253" s="91">
        <f t="shared" si="105"/>
        <v>29.745695056150083</v>
      </c>
      <c r="K253" s="172">
        <f t="shared" si="100"/>
        <v>0.021000875536697</v>
      </c>
      <c r="L253" s="177">
        <f t="shared" si="107"/>
        <v>10.439342590354357</v>
      </c>
      <c r="M253" s="178">
        <f t="shared" si="108"/>
        <v>0.12375334720482188</v>
      </c>
      <c r="N253" s="403">
        <f t="shared" si="96"/>
        <v>0</v>
      </c>
      <c r="O253" s="177">
        <f t="shared" si="101"/>
        <v>0.00361337113457761</v>
      </c>
      <c r="P253" s="174">
        <f t="shared" si="103"/>
        <v>0.0010439342590354357</v>
      </c>
      <c r="Q253" s="179">
        <f t="shared" si="109"/>
        <v>0.004160378400007675</v>
      </c>
      <c r="R253" s="179">
        <f t="shared" si="110"/>
        <v>0.010791820928151038</v>
      </c>
      <c r="S253" s="180">
        <f t="shared" si="111"/>
        <v>0.385512178871974</v>
      </c>
      <c r="T253" s="179">
        <f t="shared" si="112"/>
        <v>0.989208179071849</v>
      </c>
      <c r="U253" s="181">
        <f t="shared" si="113"/>
        <v>0.4160378400007675</v>
      </c>
      <c r="V253">
        <f>IF(ISNUMBER('Set-up'!$N$32)=FALSE,"",('Set-up'!$N$32-'EPP model'!U253)^2)</f>
        <v>0.0002802834557406542</v>
      </c>
      <c r="W253">
        <f>IF(ISNUMBER('Set-up'!$N$32)=FALSE,NA()=FALSE,('Set-up'!$N$32))</f>
        <v>0.4327795082492024</v>
      </c>
    </row>
    <row r="254" spans="1:21" ht="12.75">
      <c r="A254" s="91">
        <f t="shared" si="102"/>
        <v>2005.0999999999772</v>
      </c>
      <c r="B254" s="171">
        <f t="shared" si="97"/>
        <v>43.56803072802895</v>
      </c>
      <c r="C254" s="171">
        <f t="shared" si="98"/>
        <v>0.28984018115648463</v>
      </c>
      <c r="D254" s="172">
        <f t="shared" si="99"/>
        <v>0.18542378243780475</v>
      </c>
      <c r="E254" s="171">
        <f t="shared" si="106"/>
        <v>44.04329469162324</v>
      </c>
      <c r="F254" s="171"/>
      <c r="G254" s="171">
        <f t="shared" si="94"/>
        <v>0.13158154505595904</v>
      </c>
      <c r="H254" s="171">
        <f t="shared" si="95"/>
        <v>0.13132893800948178</v>
      </c>
      <c r="I254" s="91">
        <f t="shared" si="104"/>
        <v>0.0950184375980968</v>
      </c>
      <c r="J254" s="91">
        <f t="shared" si="105"/>
        <v>29.745695056150083</v>
      </c>
      <c r="K254" s="172">
        <f t="shared" si="100"/>
        <v>0.0212033003100987</v>
      </c>
      <c r="L254" s="177">
        <f t="shared" si="107"/>
        <v>10.615729661529807</v>
      </c>
      <c r="M254" s="178">
        <f t="shared" si="108"/>
        <v>0.12523039720736157</v>
      </c>
      <c r="N254" s="403">
        <f t="shared" si="96"/>
        <v>0</v>
      </c>
      <c r="O254" s="177">
        <f t="shared" si="101"/>
        <v>0.0036219142904814743</v>
      </c>
      <c r="P254" s="174">
        <f t="shared" si="103"/>
        <v>0.0010615729661529807</v>
      </c>
      <c r="Q254" s="179">
        <f t="shared" si="109"/>
        <v>0.00421003432499956</v>
      </c>
      <c r="R254" s="179">
        <f t="shared" si="110"/>
        <v>0.01079083585644381</v>
      </c>
      <c r="S254" s="180">
        <f t="shared" si="111"/>
        <v>0.3901490469327743</v>
      </c>
      <c r="T254" s="179">
        <f t="shared" si="112"/>
        <v>0.9892091641435562</v>
      </c>
      <c r="U254" s="181">
        <f t="shared" si="113"/>
        <v>0.421003432499956</v>
      </c>
    </row>
    <row r="255" spans="1:21" ht="12.75">
      <c r="A255" s="91">
        <f t="shared" si="102"/>
        <v>2005.199999999977</v>
      </c>
      <c r="B255" s="171">
        <f t="shared" si="97"/>
        <v>43.47850382694408</v>
      </c>
      <c r="C255" s="171">
        <f t="shared" si="98"/>
        <v>0.2870273813374535</v>
      </c>
      <c r="D255" s="172">
        <f t="shared" si="99"/>
        <v>0.18721601583668332</v>
      </c>
      <c r="E255" s="171">
        <f t="shared" si="106"/>
        <v>43.95274722411821</v>
      </c>
      <c r="F255" s="171"/>
      <c r="G255" s="171">
        <f t="shared" si="94"/>
        <v>0.13131102996941438</v>
      </c>
      <c r="H255" s="171">
        <f t="shared" si="95"/>
        <v>0.13105598132251492</v>
      </c>
      <c r="I255" s="91">
        <f t="shared" si="104"/>
        <v>0.09480565188612272</v>
      </c>
      <c r="J255" s="91">
        <f t="shared" si="105"/>
        <v>29.745695056150083</v>
      </c>
      <c r="K255" s="172">
        <f t="shared" si="100"/>
        <v>0.02140870647290839</v>
      </c>
      <c r="L255" s="177">
        <f t="shared" si="107"/>
        <v>10.793812511954819</v>
      </c>
      <c r="M255" s="178">
        <f t="shared" si="108"/>
        <v>0.1267013069355887</v>
      </c>
      <c r="N255" s="403">
        <f t="shared" si="96"/>
        <v>0</v>
      </c>
      <c r="O255" s="177">
        <f t="shared" si="101"/>
        <v>0.0036296801012880202</v>
      </c>
      <c r="P255" s="174">
        <f t="shared" si="103"/>
        <v>0.0010793812511954819</v>
      </c>
      <c r="Q255" s="179">
        <f t="shared" si="109"/>
        <v>0.004259483824345618</v>
      </c>
      <c r="R255" s="179">
        <f t="shared" si="110"/>
        <v>0.010789846531228995</v>
      </c>
      <c r="S255" s="180">
        <f t="shared" si="111"/>
        <v>0.394767785808391</v>
      </c>
      <c r="T255" s="179">
        <f t="shared" si="112"/>
        <v>0.9892101534687711</v>
      </c>
      <c r="U255" s="181">
        <f t="shared" si="113"/>
        <v>0.42594838243456185</v>
      </c>
    </row>
    <row r="256" spans="1:21" ht="12.75">
      <c r="A256" s="91">
        <f t="shared" si="102"/>
        <v>2005.299999999977</v>
      </c>
      <c r="B256" s="171">
        <f t="shared" si="97"/>
        <v>43.38912469037766</v>
      </c>
      <c r="C256" s="171">
        <f t="shared" si="98"/>
        <v>0.28423452446670056</v>
      </c>
      <c r="D256" s="172">
        <f t="shared" si="99"/>
        <v>0.188989935992835</v>
      </c>
      <c r="E256" s="171">
        <f t="shared" si="106"/>
        <v>43.8623491508372</v>
      </c>
      <c r="F256" s="171"/>
      <c r="G256" s="171">
        <f t="shared" si="94"/>
        <v>0.1310409612055837</v>
      </c>
      <c r="H256" s="171">
        <f t="shared" si="95"/>
        <v>0.13078349590681013</v>
      </c>
      <c r="I256" s="91">
        <f t="shared" si="104"/>
        <v>0.09459397418359529</v>
      </c>
      <c r="J256" s="91">
        <f t="shared" si="105"/>
        <v>29.745695056150083</v>
      </c>
      <c r="K256" s="172">
        <f t="shared" si="100"/>
        <v>0.021616958139610634</v>
      </c>
      <c r="L256" s="177">
        <f t="shared" si="107"/>
        <v>10.973570290047979</v>
      </c>
      <c r="M256" s="178">
        <f t="shared" si="108"/>
        <v>0.12816543376170023</v>
      </c>
      <c r="N256" s="403">
        <f t="shared" si="96"/>
        <v>0</v>
      </c>
      <c r="O256" s="177">
        <f t="shared" si="101"/>
        <v>0.003636674434175496</v>
      </c>
      <c r="P256" s="174">
        <f t="shared" si="103"/>
        <v>0.0010973570290047979</v>
      </c>
      <c r="Q256" s="179">
        <f t="shared" si="109"/>
        <v>0.004308705293985098</v>
      </c>
      <c r="R256" s="179">
        <f t="shared" si="110"/>
        <v>0.010788853529759092</v>
      </c>
      <c r="S256" s="180">
        <f t="shared" si="111"/>
        <v>0.3993663721636704</v>
      </c>
      <c r="T256" s="179">
        <f t="shared" si="112"/>
        <v>0.989211146470241</v>
      </c>
      <c r="U256" s="181">
        <f t="shared" si="113"/>
        <v>0.4308705293985098</v>
      </c>
    </row>
    <row r="257" spans="1:21" ht="12.75">
      <c r="A257" s="91">
        <f t="shared" si="102"/>
        <v>2005.399999999977</v>
      </c>
      <c r="B257" s="171">
        <f t="shared" si="97"/>
        <v>43.29989360632587</v>
      </c>
      <c r="C257" s="171">
        <f t="shared" si="98"/>
        <v>0.2814624886817224</v>
      </c>
      <c r="D257" s="172">
        <f t="shared" si="99"/>
        <v>0.19074468738685826</v>
      </c>
      <c r="E257" s="171">
        <f t="shared" si="106"/>
        <v>43.77210078239445</v>
      </c>
      <c r="F257" s="171"/>
      <c r="G257" s="171">
        <f t="shared" si="94"/>
        <v>0.13077133969244256</v>
      </c>
      <c r="H257" s="171">
        <f t="shared" si="95"/>
        <v>0.13051148385583655</v>
      </c>
      <c r="I257" s="91">
        <f t="shared" si="104"/>
        <v>0.09438339970237627</v>
      </c>
      <c r="J257" s="91">
        <f t="shared" si="105"/>
        <v>29.745695056150083</v>
      </c>
      <c r="K257" s="172">
        <f t="shared" si="100"/>
        <v>0.02182797529808099</v>
      </c>
      <c r="L257" s="177">
        <f t="shared" si="107"/>
        <v>11.154980477638533</v>
      </c>
      <c r="M257" s="178">
        <f t="shared" si="108"/>
        <v>0.12962213837523265</v>
      </c>
      <c r="N257" s="403">
        <f t="shared" si="96"/>
        <v>0</v>
      </c>
      <c r="O257" s="177">
        <f t="shared" si="101"/>
        <v>0.003642904111832528</v>
      </c>
      <c r="P257" s="174">
        <f t="shared" si="103"/>
        <v>0.0011154980477638533</v>
      </c>
      <c r="Q257" s="179">
        <f t="shared" si="109"/>
        <v>0.0043576772413806</v>
      </c>
      <c r="R257" s="179">
        <f t="shared" si="110"/>
        <v>0.010787857279596386</v>
      </c>
      <c r="S257" s="180">
        <f t="shared" si="111"/>
        <v>0.4039427968353357</v>
      </c>
      <c r="T257" s="179">
        <f t="shared" si="112"/>
        <v>0.9892121427204035</v>
      </c>
      <c r="U257" s="181">
        <f t="shared" si="113"/>
        <v>0.43576772413806003</v>
      </c>
    </row>
    <row r="258" spans="1:21" ht="12.75">
      <c r="A258" s="91">
        <f t="shared" si="102"/>
        <v>2005.4999999999768</v>
      </c>
      <c r="B258" s="171">
        <f t="shared" si="97"/>
        <v>43.21081086310101</v>
      </c>
      <c r="C258" s="171">
        <f t="shared" si="98"/>
        <v>0.2787121345931847</v>
      </c>
      <c r="D258" s="172">
        <f t="shared" si="99"/>
        <v>0.1924794281622164</v>
      </c>
      <c r="E258" s="171">
        <f t="shared" si="106"/>
        <v>43.68200242585641</v>
      </c>
      <c r="F258" s="171"/>
      <c r="G258" s="171">
        <f t="shared" si="94"/>
        <v>0.13050216634736733</v>
      </c>
      <c r="H258" s="171">
        <f t="shared" si="95"/>
        <v>0.130239947233851</v>
      </c>
      <c r="I258" s="91">
        <f t="shared" si="104"/>
        <v>0.09417392394254535</v>
      </c>
      <c r="J258" s="91">
        <f t="shared" si="105"/>
        <v>29.745695056150083</v>
      </c>
      <c r="K258" s="172">
        <f t="shared" si="100"/>
        <v>0.022041706200179763</v>
      </c>
      <c r="L258" s="177">
        <f t="shared" si="107"/>
        <v>11.338019009116309</v>
      </c>
      <c r="M258" s="178">
        <f t="shared" si="108"/>
        <v>0.13107078560360172</v>
      </c>
      <c r="N258" s="403">
        <f t="shared" si="96"/>
        <v>0</v>
      </c>
      <c r="O258" s="177">
        <f t="shared" si="101"/>
        <v>0.0036483769655339575</v>
      </c>
      <c r="P258" s="174">
        <f t="shared" si="103"/>
        <v>0.001133801900911631</v>
      </c>
      <c r="Q258" s="179">
        <f t="shared" si="109"/>
        <v>0.004406378313103231</v>
      </c>
      <c r="R258" s="179">
        <f t="shared" si="110"/>
        <v>0.010786858124354017</v>
      </c>
      <c r="S258" s="180">
        <f t="shared" si="111"/>
        <v>0.408495065227078</v>
      </c>
      <c r="T258" s="179">
        <f t="shared" si="112"/>
        <v>0.989213141875646</v>
      </c>
      <c r="U258" s="181">
        <f t="shared" si="113"/>
        <v>0.4406378313103231</v>
      </c>
    </row>
    <row r="259" spans="1:21" ht="12.75">
      <c r="A259" s="91">
        <f t="shared" si="102"/>
        <v>2005.5999999999767</v>
      </c>
      <c r="B259" s="171">
        <f t="shared" si="97"/>
        <v>43.121876747844375</v>
      </c>
      <c r="C259" s="171">
        <f t="shared" si="98"/>
        <v>0.2759843058429977</v>
      </c>
      <c r="D259" s="172">
        <f t="shared" si="99"/>
        <v>0.1941933312400954</v>
      </c>
      <c r="E259" s="171">
        <f t="shared" si="106"/>
        <v>43.592054384927465</v>
      </c>
      <c r="F259" s="171"/>
      <c r="G259" s="171">
        <f aca="true" t="shared" si="114" ref="G259:G322">E259*b*Solution_interval</f>
        <v>0.13023344207769005</v>
      </c>
      <c r="H259" s="171">
        <f aca="true" t="shared" si="115" ref="H259:H322">b*(B259+C259+(1-v)*e*D259)*Solution_interval</f>
        <v>0.12996888807493373</v>
      </c>
      <c r="I259" s="91">
        <f t="shared" si="104"/>
        <v>0.09396554242035011</v>
      </c>
      <c r="J259" s="91">
        <f t="shared" si="105"/>
        <v>29.745695056150083</v>
      </c>
      <c r="K259" s="172">
        <f t="shared" si="100"/>
        <v>0.02225811446638089</v>
      </c>
      <c r="L259" s="177">
        <f t="shared" si="107"/>
        <v>11.510439383853472</v>
      </c>
      <c r="M259" s="178">
        <f t="shared" si="108"/>
        <v>0.1325107452380839</v>
      </c>
      <c r="N259" s="403">
        <f aca="true" t="shared" si="116" ref="N259:N322">IF(ROUND(A259,1)=t0,0.01,0)</f>
        <v>0</v>
      </c>
      <c r="O259" s="177">
        <f t="shared" si="101"/>
        <v>0.00365310184383855</v>
      </c>
      <c r="P259" s="174">
        <f t="shared" si="103"/>
        <v>0.001151043938385347</v>
      </c>
      <c r="Q259" s="179">
        <f t="shared" si="109"/>
        <v>0.0044547873226007065</v>
      </c>
      <c r="R259" s="179">
        <f t="shared" si="110"/>
        <v>0.01078585636114602</v>
      </c>
      <c r="S259" s="180">
        <f t="shared" si="111"/>
        <v>0.4130211986364128</v>
      </c>
      <c r="T259" s="179">
        <f t="shared" si="112"/>
        <v>0.9892141436388541</v>
      </c>
      <c r="U259" s="181">
        <f t="shared" si="113"/>
        <v>0.4454787322600707</v>
      </c>
    </row>
    <row r="260" spans="1:21" ht="12.75">
      <c r="A260" s="91">
        <f t="shared" si="102"/>
        <v>2005.6999999999766</v>
      </c>
      <c r="B260" s="171">
        <f aca="true" t="shared" si="117" ref="B260:B323">MAX(0,B259+(1-K260)*I260-B259*mu*Solution_interval)</f>
        <v>43.033091545759845</v>
      </c>
      <c r="C260" s="171">
        <f aca="true" t="shared" si="118" ref="C260:C323">MAX(0,C259+K260*I260-(mu+M259+N259)*C259*Solution_interval)</f>
        <v>0.27327982895353975</v>
      </c>
      <c r="D260" s="172">
        <f aca="true" t="shared" si="119" ref="D260:D323">MAX(0,D259-P259+((M259+N259)*C259-mu*D259)*Solution_interval)</f>
        <v>0.1958868075098932</v>
      </c>
      <c r="E260" s="171">
        <f t="shared" si="106"/>
        <v>43.50225818222328</v>
      </c>
      <c r="F260" s="171"/>
      <c r="G260" s="171">
        <f t="shared" si="114"/>
        <v>0.12996517143230119</v>
      </c>
      <c r="H260" s="171">
        <f t="shared" si="115"/>
        <v>0.12969831036821122</v>
      </c>
      <c r="I260" s="91">
        <f t="shared" si="104"/>
        <v>0.0937582506677957</v>
      </c>
      <c r="J260" s="91">
        <f t="shared" si="105"/>
        <v>29.745695056150083</v>
      </c>
      <c r="K260" s="172">
        <f aca="true" t="shared" si="120" ref="K260:K323">EXP(phi*((B259/E259)-(1-fo)))/(EXP(phi*((B259/E259)-(1-fo)))+1/fo-1)</f>
        <v>0.02247717163715349</v>
      </c>
      <c r="L260" s="177">
        <f t="shared" si="107"/>
        <v>11.696073573129286</v>
      </c>
      <c r="M260" s="178">
        <f t="shared" si="108"/>
        <v>0.13394222473014303</v>
      </c>
      <c r="N260" s="403">
        <f t="shared" si="116"/>
        <v>0</v>
      </c>
      <c r="O260" s="177">
        <f aca="true" t="shared" si="121" ref="O260:O323">(M259+N259)*C259*Solution_interval</f>
        <v>0.00365708860412709</v>
      </c>
      <c r="P260" s="174">
        <f t="shared" si="103"/>
        <v>0.0011696073573129286</v>
      </c>
      <c r="Q260" s="179">
        <f t="shared" si="109"/>
        <v>0.0045029112440406645</v>
      </c>
      <c r="R260" s="179">
        <f t="shared" si="110"/>
        <v>0.010784880051471735</v>
      </c>
      <c r="S260" s="180">
        <f t="shared" si="111"/>
        <v>0.4175207533649096</v>
      </c>
      <c r="T260" s="179">
        <f t="shared" si="112"/>
        <v>0.9892151199485282</v>
      </c>
      <c r="U260" s="181">
        <f t="shared" si="113"/>
        <v>0.45029112440406643</v>
      </c>
    </row>
    <row r="261" spans="1:21" ht="12.75">
      <c r="A261" s="91">
        <f aca="true" t="shared" si="122" ref="A261:A324">0.1+A260</f>
        <v>2005.7999999999765</v>
      </c>
      <c r="B261" s="171">
        <f t="shared" si="117"/>
        <v>42.94445611640948</v>
      </c>
      <c r="C261" s="171">
        <f t="shared" si="118"/>
        <v>0.2705989134048713</v>
      </c>
      <c r="D261" s="172">
        <f t="shared" si="119"/>
        <v>0.19755791652457555</v>
      </c>
      <c r="E261" s="171">
        <f t="shared" si="106"/>
        <v>43.41261294633892</v>
      </c>
      <c r="F261" s="171"/>
      <c r="G261" s="171">
        <f t="shared" si="114"/>
        <v>0.12969735180783484</v>
      </c>
      <c r="H261" s="171">
        <f t="shared" si="115"/>
        <v>0.12942821415383293</v>
      </c>
      <c r="I261" s="91">
        <f t="shared" si="104"/>
        <v>0.09355204423255797</v>
      </c>
      <c r="J261" s="91">
        <f t="shared" si="105"/>
        <v>29.745695056150083</v>
      </c>
      <c r="K261" s="172">
        <f t="shared" si="120"/>
        <v>0.02269268894659581</v>
      </c>
      <c r="L261" s="177">
        <f t="shared" si="107"/>
        <v>11.883480129560471</v>
      </c>
      <c r="M261" s="178">
        <f t="shared" si="108"/>
        <v>0.1353638295886992</v>
      </c>
      <c r="N261" s="403">
        <f t="shared" si="116"/>
        <v>0</v>
      </c>
      <c r="O261" s="177">
        <f t="shared" si="121"/>
        <v>0.003660370826391007</v>
      </c>
      <c r="P261" s="174">
        <f t="shared" si="103"/>
        <v>0.0011883480129560471</v>
      </c>
      <c r="Q261" s="179">
        <f t="shared" si="109"/>
        <v>0.004550703196989575</v>
      </c>
      <c r="R261" s="179">
        <f t="shared" si="110"/>
        <v>0.010783889707540111</v>
      </c>
      <c r="S261" s="180">
        <f t="shared" si="111"/>
        <v>0.4219908882977278</v>
      </c>
      <c r="T261" s="179">
        <f t="shared" si="112"/>
        <v>0.98921611029246</v>
      </c>
      <c r="U261" s="181">
        <f t="shared" si="113"/>
        <v>0.45507031969895756</v>
      </c>
    </row>
    <row r="262" spans="1:21" ht="12.75">
      <c r="A262" s="91">
        <f t="shared" si="122"/>
        <v>2005.8999999999764</v>
      </c>
      <c r="B262" s="171">
        <f t="shared" si="117"/>
        <v>42.855970496442076</v>
      </c>
      <c r="C262" s="171">
        <f t="shared" si="118"/>
        <v>0.2679426006708688</v>
      </c>
      <c r="D262" s="172">
        <f t="shared" si="119"/>
        <v>0.19920585211078348</v>
      </c>
      <c r="E262" s="171">
        <f t="shared" si="106"/>
        <v>43.32311894922373</v>
      </c>
      <c r="F262" s="171"/>
      <c r="G262" s="171">
        <f t="shared" si="114"/>
        <v>0.1294299840167534</v>
      </c>
      <c r="H262" s="171">
        <f t="shared" si="115"/>
        <v>0.1291586013425294</v>
      </c>
      <c r="I262" s="91">
        <f t="shared" si="104"/>
        <v>0.09334691867789356</v>
      </c>
      <c r="J262" s="91">
        <f t="shared" si="105"/>
        <v>29.745695056150083</v>
      </c>
      <c r="K262" s="172">
        <f t="shared" si="120"/>
        <v>0.02291336609164818</v>
      </c>
      <c r="L262" s="177">
        <f t="shared" si="107"/>
        <v>12.072372529620415</v>
      </c>
      <c r="M262" s="178">
        <f t="shared" si="108"/>
        <v>0.1367749292758173</v>
      </c>
      <c r="N262" s="403">
        <f t="shared" si="116"/>
        <v>0</v>
      </c>
      <c r="O262" s="177">
        <f t="shared" si="121"/>
        <v>0.0036629305201024173</v>
      </c>
      <c r="P262" s="174">
        <f t="shared" si="103"/>
        <v>0.0012072372529620414</v>
      </c>
      <c r="Q262" s="179">
        <f t="shared" si="109"/>
        <v>0.0045981419838276175</v>
      </c>
      <c r="R262" s="179">
        <f t="shared" si="110"/>
        <v>0.010782890616189643</v>
      </c>
      <c r="S262" s="180">
        <f t="shared" si="111"/>
        <v>0.4264294378470164</v>
      </c>
      <c r="T262" s="179">
        <f t="shared" si="112"/>
        <v>0.9892171093838102</v>
      </c>
      <c r="U262" s="181">
        <f t="shared" si="113"/>
        <v>0.4598141983827618</v>
      </c>
    </row>
    <row r="263" spans="1:22" ht="12.75">
      <c r="A263" s="91">
        <f t="shared" si="122"/>
        <v>2005.9999999999764</v>
      </c>
      <c r="B263" s="171">
        <f t="shared" si="117"/>
        <v>42.76763482179312</v>
      </c>
      <c r="C263" s="171">
        <f t="shared" si="118"/>
        <v>0.26531180866583876</v>
      </c>
      <c r="D263" s="172">
        <f t="shared" si="119"/>
        <v>0.20082985546121607</v>
      </c>
      <c r="E263" s="171">
        <f t="shared" si="106"/>
        <v>43.233776485920174</v>
      </c>
      <c r="F263" s="171"/>
      <c r="G263" s="171">
        <f t="shared" si="114"/>
        <v>0.12916306894051086</v>
      </c>
      <c r="H263" s="171">
        <f t="shared" si="115"/>
        <v>0.1288894738494953</v>
      </c>
      <c r="I263" s="91">
        <f t="shared" si="104"/>
        <v>0.09314286958254696</v>
      </c>
      <c r="J263" s="91">
        <f t="shared" si="105"/>
        <v>29.745695056150083</v>
      </c>
      <c r="K263" s="172">
        <f t="shared" si="120"/>
        <v>0.023138115503064896</v>
      </c>
      <c r="L263" s="177">
        <f t="shared" si="107"/>
        <v>12.262724578209028</v>
      </c>
      <c r="M263" s="178">
        <f t="shared" si="108"/>
        <v>0.13817492072813742</v>
      </c>
      <c r="N263" s="403">
        <f t="shared" si="116"/>
        <v>0</v>
      </c>
      <c r="O263" s="177">
        <f t="shared" si="121"/>
        <v>0.003664783025673664</v>
      </c>
      <c r="P263" s="174">
        <f t="shared" si="103"/>
        <v>0.0012262724578209028</v>
      </c>
      <c r="Q263" s="179">
        <f t="shared" si="109"/>
        <v>0.004645207330583758</v>
      </c>
      <c r="R263" s="179">
        <f t="shared" si="110"/>
        <v>0.010781886340159572</v>
      </c>
      <c r="S263" s="180">
        <f t="shared" si="111"/>
        <v>0.4308343812976059</v>
      </c>
      <c r="T263" s="179">
        <f t="shared" si="112"/>
        <v>0.9892181136598406</v>
      </c>
      <c r="U263" s="181">
        <f t="shared" si="113"/>
        <v>0.46452073305837577</v>
      </c>
      <c r="V263">
        <f>IF(ISNUMBER('Set-up'!$N$33)=FALSE,"",('Set-up'!$N$33-'EPP model'!U263)^2)</f>
      </c>
    </row>
    <row r="264" spans="1:21" ht="12.75">
      <c r="A264" s="91">
        <f t="shared" si="122"/>
        <v>2006.0999999999763</v>
      </c>
      <c r="B264" s="171">
        <f t="shared" si="117"/>
        <v>42.6794492938241</v>
      </c>
      <c r="C264" s="171">
        <f t="shared" si="118"/>
        <v>0.26270736559262564</v>
      </c>
      <c r="D264" s="172">
        <f t="shared" si="119"/>
        <v>0.20242918903313956</v>
      </c>
      <c r="E264" s="171">
        <f t="shared" si="106"/>
        <v>43.144585848449864</v>
      </c>
      <c r="F264" s="171"/>
      <c r="G264" s="171">
        <f t="shared" si="114"/>
        <v>0.1288966074515364</v>
      </c>
      <c r="H264" s="171">
        <f t="shared" si="115"/>
        <v>0.12862083355193107</v>
      </c>
      <c r="I264" s="91">
        <f t="shared" si="104"/>
        <v>0.09293989254065652</v>
      </c>
      <c r="J264" s="91">
        <f t="shared" si="105"/>
        <v>29.745695056150083</v>
      </c>
      <c r="K264" s="172">
        <f t="shared" si="120"/>
        <v>0.023366199815330484</v>
      </c>
      <c r="L264" s="177">
        <f t="shared" si="107"/>
        <v>12.454508477997706</v>
      </c>
      <c r="M264" s="178">
        <f t="shared" si="108"/>
        <v>0.13956321074895361</v>
      </c>
      <c r="N264" s="403">
        <f t="shared" si="116"/>
        <v>0</v>
      </c>
      <c r="O264" s="177">
        <f t="shared" si="121"/>
        <v>0.0036659438130641035</v>
      </c>
      <c r="P264" s="174">
        <f t="shared" si="103"/>
        <v>0.0012454508477997707</v>
      </c>
      <c r="Q264" s="179">
        <f t="shared" si="109"/>
        <v>0.004691879294987197</v>
      </c>
      <c r="R264" s="179">
        <f t="shared" si="110"/>
        <v>0.010780878886162191</v>
      </c>
      <c r="S264" s="180">
        <f t="shared" si="111"/>
        <v>0.43520378482402433</v>
      </c>
      <c r="T264" s="179">
        <f t="shared" si="112"/>
        <v>0.9892191211138378</v>
      </c>
      <c r="U264" s="181">
        <f t="shared" si="113"/>
        <v>0.46918792949871974</v>
      </c>
    </row>
    <row r="265" spans="1:21" ht="12.75">
      <c r="A265" s="91">
        <f t="shared" si="122"/>
        <v>2006.1999999999762</v>
      </c>
      <c r="B265" s="171">
        <f t="shared" si="117"/>
        <v>42.59141407695426</v>
      </c>
      <c r="C265" s="171">
        <f t="shared" si="118"/>
        <v>0.26013003971262166</v>
      </c>
      <c r="D265" s="172">
        <f t="shared" si="119"/>
        <v>0.20400313661034986</v>
      </c>
      <c r="E265" s="171">
        <f t="shared" si="106"/>
        <v>43.055547253277226</v>
      </c>
      <c r="F265" s="171"/>
      <c r="G265" s="171">
        <f t="shared" si="114"/>
        <v>0.1286306001965284</v>
      </c>
      <c r="H265" s="171">
        <f t="shared" si="115"/>
        <v>0.1283526820722526</v>
      </c>
      <c r="I265" s="91">
        <f t="shared" si="104"/>
        <v>0.09273791043726337</v>
      </c>
      <c r="J265" s="91">
        <f t="shared" si="105"/>
        <v>29.745695056150083</v>
      </c>
      <c r="K265" s="172">
        <f t="shared" si="120"/>
        <v>0.023597210367036277</v>
      </c>
      <c r="L265" s="177">
        <f t="shared" si="107"/>
        <v>12.647692550826598</v>
      </c>
      <c r="M265" s="178">
        <f t="shared" si="108"/>
        <v>0.14093921641299553</v>
      </c>
      <c r="N265" s="403">
        <f t="shared" si="116"/>
        <v>0</v>
      </c>
      <c r="O265" s="177">
        <f t="shared" si="121"/>
        <v>0.003666428342950602</v>
      </c>
      <c r="P265" s="174">
        <f aca="true" t="shared" si="123" ref="P265:P291">O254*$Y$6+O243*$Y$7+O232*$Y$8+O221*$Y$9+O210*$Y$10+O199*$Y$11+O188*$Y$12+O177*$Y$13+O166*$Y$14+O155*$Y$15+O144*$Y$16+O133*$Y$17+O122*$Y$18+O111*$Y$19+O100*$N$20</f>
        <v>0.0012647692550826599</v>
      </c>
      <c r="Q265" s="179">
        <f t="shared" si="109"/>
        <v>0.004738138280075441</v>
      </c>
      <c r="R265" s="179">
        <f t="shared" si="110"/>
        <v>0.01077986939970072</v>
      </c>
      <c r="S265" s="180">
        <f t="shared" si="111"/>
        <v>0.4395357776975467</v>
      </c>
      <c r="T265" s="179">
        <f t="shared" si="112"/>
        <v>0.9892201306002993</v>
      </c>
      <c r="U265" s="181">
        <f t="shared" si="113"/>
        <v>0.4738138280075441</v>
      </c>
    </row>
    <row r="266" spans="1:21" ht="12.75">
      <c r="A266" s="91">
        <f t="shared" si="122"/>
        <v>2006.299999999976</v>
      </c>
      <c r="B266" s="171">
        <f t="shared" si="117"/>
        <v>42.50352949444116</v>
      </c>
      <c r="C266" s="171">
        <f t="shared" si="118"/>
        <v>0.25758056172151905</v>
      </c>
      <c r="D266" s="172">
        <f t="shared" si="119"/>
        <v>0.20555100392226644</v>
      </c>
      <c r="E266" s="171">
        <f t="shared" si="106"/>
        <v>42.966661060084945</v>
      </c>
      <c r="F266" s="171"/>
      <c r="G266" s="171">
        <f t="shared" si="114"/>
        <v>0.1283650482500568</v>
      </c>
      <c r="H266" s="171">
        <f t="shared" si="115"/>
        <v>0.1280850214308506</v>
      </c>
      <c r="I266" s="91">
        <f t="shared" si="104"/>
        <v>0.09253706422853908</v>
      </c>
      <c r="J266" s="91">
        <f t="shared" si="105"/>
        <v>29.745695056150083</v>
      </c>
      <c r="K266" s="172">
        <f t="shared" si="120"/>
        <v>0.023830921890114463</v>
      </c>
      <c r="L266" s="177">
        <f t="shared" si="107"/>
        <v>12.84224453399623</v>
      </c>
      <c r="M266" s="178">
        <f t="shared" si="108"/>
        <v>0.14230236491048295</v>
      </c>
      <c r="N266" s="403">
        <f t="shared" si="116"/>
        <v>0</v>
      </c>
      <c r="O266" s="177">
        <f t="shared" si="121"/>
        <v>0.0036662523962578304</v>
      </c>
      <c r="P266" s="174">
        <f t="shared" si="123"/>
        <v>0.001284224453399623</v>
      </c>
      <c r="Q266" s="179">
        <f t="shared" si="109"/>
        <v>0.004783965028951683</v>
      </c>
      <c r="R266" s="179">
        <f t="shared" si="110"/>
        <v>0.010778858636377129</v>
      </c>
      <c r="S266" s="180">
        <f t="shared" si="111"/>
        <v>0.4438285342018009</v>
      </c>
      <c r="T266" s="179">
        <f t="shared" si="112"/>
        <v>0.9892211413636229</v>
      </c>
      <c r="U266" s="181">
        <f t="shared" si="113"/>
        <v>0.47839650289516833</v>
      </c>
    </row>
    <row r="267" spans="1:21" ht="12.75">
      <c r="A267" s="91">
        <f t="shared" si="122"/>
        <v>2006.399999999976</v>
      </c>
      <c r="B267" s="171">
        <f t="shared" si="117"/>
        <v>42.415795807558496</v>
      </c>
      <c r="C267" s="171">
        <f t="shared" si="118"/>
        <v>0.2550596270079596</v>
      </c>
      <c r="D267" s="172">
        <f t="shared" si="119"/>
        <v>0.2070721191654422</v>
      </c>
      <c r="E267" s="171">
        <f t="shared" si="106"/>
        <v>42.8779275537319</v>
      </c>
      <c r="F267" s="171"/>
      <c r="G267" s="171">
        <f t="shared" si="114"/>
        <v>0.12809995246315176</v>
      </c>
      <c r="H267" s="171">
        <f t="shared" si="115"/>
        <v>0.12781785339396834</v>
      </c>
      <c r="I267" s="91">
        <f t="shared" si="104"/>
        <v>0.09233727736945026</v>
      </c>
      <c r="J267" s="91">
        <f t="shared" si="105"/>
        <v>29.745695056150083</v>
      </c>
      <c r="K267" s="172">
        <f t="shared" si="120"/>
        <v>0.024067190991634978</v>
      </c>
      <c r="L267" s="177">
        <f t="shared" si="107"/>
        <v>13.03813030562276</v>
      </c>
      <c r="M267" s="178">
        <f t="shared" si="108"/>
        <v>0.1436520947428561</v>
      </c>
      <c r="N267" s="403">
        <f t="shared" si="116"/>
        <v>0</v>
      </c>
      <c r="O267" s="177">
        <f t="shared" si="121"/>
        <v>0.003665432308794278</v>
      </c>
      <c r="P267" s="174">
        <f t="shared" si="123"/>
        <v>0.001303813030562276</v>
      </c>
      <c r="Q267" s="179">
        <f t="shared" si="109"/>
        <v>0.004829340664983225</v>
      </c>
      <c r="R267" s="179">
        <f t="shared" si="110"/>
        <v>0.010777847077480309</v>
      </c>
      <c r="S267" s="180">
        <f t="shared" si="111"/>
        <v>0.44808027338538275</v>
      </c>
      <c r="T267" s="179">
        <f t="shared" si="112"/>
        <v>0.9892221529225196</v>
      </c>
      <c r="U267" s="181">
        <f t="shared" si="113"/>
        <v>0.48293406649832255</v>
      </c>
    </row>
    <row r="268" spans="1:21" ht="12.75">
      <c r="A268" s="91">
        <f t="shared" si="122"/>
        <v>2006.499999999976</v>
      </c>
      <c r="B268" s="171">
        <f t="shared" si="117"/>
        <v>42.32821328047784</v>
      </c>
      <c r="C268" s="171">
        <f t="shared" si="118"/>
        <v>0.2525679024538923</v>
      </c>
      <c r="D268" s="172">
        <f t="shared" si="119"/>
        <v>0.20856583364950632</v>
      </c>
      <c r="E268" s="171">
        <f t="shared" si="106"/>
        <v>42.78934701658124</v>
      </c>
      <c r="F268" s="171"/>
      <c r="G268" s="171">
        <f t="shared" si="114"/>
        <v>0.1278353136793873</v>
      </c>
      <c r="H268" s="171">
        <f t="shared" si="115"/>
        <v>0.12755117968890556</v>
      </c>
      <c r="I268" s="91">
        <f t="shared" si="104"/>
        <v>0.09213854514401809</v>
      </c>
      <c r="J268" s="91">
        <f t="shared" si="105"/>
        <v>29.745695056150083</v>
      </c>
      <c r="K268" s="172">
        <f t="shared" si="120"/>
        <v>0.02430593290302367</v>
      </c>
      <c r="L268" s="177">
        <f t="shared" si="107"/>
        <v>13.235314055210111</v>
      </c>
      <c r="M268" s="178">
        <f t="shared" si="108"/>
        <v>0.14498785607702455</v>
      </c>
      <c r="N268" s="403">
        <f t="shared" si="116"/>
        <v>0</v>
      </c>
      <c r="O268" s="177">
        <f t="shared" si="121"/>
        <v>0.003663984970402495</v>
      </c>
      <c r="P268" s="174">
        <f t="shared" si="123"/>
        <v>0.001323531405521011</v>
      </c>
      <c r="Q268" s="179">
        <f t="shared" si="109"/>
        <v>0.0048742467037107455</v>
      </c>
      <c r="R268" s="179">
        <f t="shared" si="110"/>
        <v>0.010776835082916908</v>
      </c>
      <c r="S268" s="180">
        <f t="shared" si="111"/>
        <v>0.45228925433193684</v>
      </c>
      <c r="T268" s="179">
        <f t="shared" si="112"/>
        <v>0.9892231649170831</v>
      </c>
      <c r="U268" s="181">
        <f t="shared" si="113"/>
        <v>0.48742467037107456</v>
      </c>
    </row>
    <row r="269" spans="1:21" ht="12.75">
      <c r="A269" s="91">
        <f t="shared" si="122"/>
        <v>2006.5999999999758</v>
      </c>
      <c r="B269" s="171">
        <f t="shared" si="117"/>
        <v>42.24078217825995</v>
      </c>
      <c r="C269" s="171">
        <f t="shared" si="118"/>
        <v>0.2501060283409591</v>
      </c>
      <c r="D269" s="172">
        <f t="shared" si="119"/>
        <v>0.21003152246745382</v>
      </c>
      <c r="E269" s="171">
        <f t="shared" si="106"/>
        <v>42.70091972906836</v>
      </c>
      <c r="F269" s="171"/>
      <c r="G269" s="171">
        <f t="shared" si="114"/>
        <v>0.1275711327365782</v>
      </c>
      <c r="H269" s="171">
        <f t="shared" si="115"/>
        <v>0.12728500200480206</v>
      </c>
      <c r="I269" s="91">
        <f t="shared" si="104"/>
        <v>0.0919408632249336</v>
      </c>
      <c r="J269" s="91">
        <f t="shared" si="105"/>
        <v>29.745695056150083</v>
      </c>
      <c r="K269" s="172">
        <f t="shared" si="120"/>
        <v>0.024547087838859106</v>
      </c>
      <c r="L269" s="177">
        <f t="shared" si="107"/>
        <v>13.433758439955803</v>
      </c>
      <c r="M269" s="178">
        <f t="shared" si="108"/>
        <v>0.14630911135253255</v>
      </c>
      <c r="N269" s="403">
        <f t="shared" si="116"/>
        <v>0</v>
      </c>
      <c r="O269" s="177">
        <f t="shared" si="121"/>
        <v>0.003661927869066092</v>
      </c>
      <c r="P269" s="174">
        <f t="shared" si="123"/>
        <v>0.0013433758439955802</v>
      </c>
      <c r="Q269" s="179">
        <f t="shared" si="109"/>
        <v>0.004918665073260151</v>
      </c>
      <c r="R269" s="179">
        <f t="shared" si="110"/>
        <v>0.01077582295013607</v>
      </c>
      <c r="S269" s="180">
        <f t="shared" si="111"/>
        <v>0.4564537758295334</v>
      </c>
      <c r="T269" s="179">
        <f t="shared" si="112"/>
        <v>0.989224177049864</v>
      </c>
      <c r="U269" s="181">
        <f t="shared" si="113"/>
        <v>0.49186650732601506</v>
      </c>
    </row>
    <row r="270" spans="1:21" ht="12.75">
      <c r="A270" s="91">
        <f t="shared" si="122"/>
        <v>2006.6999999999757</v>
      </c>
      <c r="B270" s="171">
        <f t="shared" si="117"/>
        <v>42.15350276570297</v>
      </c>
      <c r="C270" s="171">
        <f t="shared" si="118"/>
        <v>0.2476746190427824</v>
      </c>
      <c r="D270" s="172">
        <f t="shared" si="119"/>
        <v>0.21146858513163788</v>
      </c>
      <c r="E270" s="171">
        <f t="shared" si="106"/>
        <v>42.61264596987739</v>
      </c>
      <c r="F270" s="171"/>
      <c r="G270" s="171">
        <f t="shared" si="114"/>
        <v>0.1273074104673072</v>
      </c>
      <c r="H270" s="171">
        <f t="shared" si="115"/>
        <v>0.12701932199229865</v>
      </c>
      <c r="I270" s="91">
        <f t="shared" si="104"/>
        <v>0.0917442273000862</v>
      </c>
      <c r="J270" s="91">
        <f t="shared" si="105"/>
        <v>29.745695056150083</v>
      </c>
      <c r="K270" s="172">
        <f t="shared" si="120"/>
        <v>0.02479060805189265</v>
      </c>
      <c r="L270" s="177">
        <f t="shared" si="107"/>
        <v>13.623546907296587</v>
      </c>
      <c r="M270" s="178">
        <f t="shared" si="108"/>
        <v>0.14761533587301226</v>
      </c>
      <c r="N270" s="403">
        <f t="shared" si="116"/>
        <v>0</v>
      </c>
      <c r="O270" s="177">
        <f t="shared" si="121"/>
        <v>0.0036592790750477043</v>
      </c>
      <c r="P270" s="174">
        <f t="shared" si="123"/>
        <v>0.0013623546907296587</v>
      </c>
      <c r="Q270" s="179">
        <f t="shared" si="109"/>
        <v>0.00496257813422625</v>
      </c>
      <c r="R270" s="179">
        <f t="shared" si="110"/>
        <v>0.010774810944595783</v>
      </c>
      <c r="S270" s="180">
        <f t="shared" si="111"/>
        <v>0.46057217706592635</v>
      </c>
      <c r="T270" s="179">
        <f t="shared" si="112"/>
        <v>0.9892251890554041</v>
      </c>
      <c r="U270" s="181">
        <f t="shared" si="113"/>
        <v>0.49625781342262504</v>
      </c>
    </row>
    <row r="271" spans="1:21" ht="12.75">
      <c r="A271" s="91">
        <f t="shared" si="122"/>
        <v>2006.7999999999756</v>
      </c>
      <c r="B271" s="171">
        <f t="shared" si="117"/>
        <v>42.06637530682836</v>
      </c>
      <c r="C271" s="171">
        <f t="shared" si="118"/>
        <v>0.24527426311403905</v>
      </c>
      <c r="D271" s="172">
        <f t="shared" si="119"/>
        <v>0.21287743394167935</v>
      </c>
      <c r="E271" s="171">
        <f t="shared" si="106"/>
        <v>42.52452700388408</v>
      </c>
      <c r="F271" s="171"/>
      <c r="G271" s="171">
        <f t="shared" si="114"/>
        <v>0.1270441506504539</v>
      </c>
      <c r="H271" s="171">
        <f t="shared" si="115"/>
        <v>0.12675414286858966</v>
      </c>
      <c r="I271" s="91">
        <f t="shared" si="104"/>
        <v>0.09154863307195929</v>
      </c>
      <c r="J271" s="91">
        <f t="shared" si="105"/>
        <v>29.745695056150083</v>
      </c>
      <c r="K271" s="172">
        <f t="shared" si="120"/>
        <v>0.025036451049921932</v>
      </c>
      <c r="L271" s="177">
        <f t="shared" si="107"/>
        <v>13.823940744353191</v>
      </c>
      <c r="M271" s="178">
        <f t="shared" si="108"/>
        <v>0.14890670585910484</v>
      </c>
      <c r="N271" s="403">
        <f t="shared" si="116"/>
        <v>0</v>
      </c>
      <c r="O271" s="177">
        <f t="shared" si="121"/>
        <v>0.003656057207722068</v>
      </c>
      <c r="P271" s="174">
        <f t="shared" si="123"/>
        <v>0.0013823940744353191</v>
      </c>
      <c r="Q271" s="179">
        <f t="shared" si="109"/>
        <v>0.005005991810849199</v>
      </c>
      <c r="R271" s="179">
        <f t="shared" si="110"/>
        <v>0.01077382229351715</v>
      </c>
      <c r="S271" s="180">
        <f t="shared" si="111"/>
        <v>0.46464399304798415</v>
      </c>
      <c r="T271" s="179">
        <f t="shared" si="112"/>
        <v>0.9892261777064828</v>
      </c>
      <c r="U271" s="181">
        <f t="shared" si="113"/>
        <v>0.5005991810849199</v>
      </c>
    </row>
    <row r="272" spans="1:21" ht="12.75">
      <c r="A272" s="91">
        <f t="shared" si="122"/>
        <v>2006.8999999999755</v>
      </c>
      <c r="B272" s="171">
        <f t="shared" si="117"/>
        <v>41.979400581981245</v>
      </c>
      <c r="C272" s="171">
        <f t="shared" si="118"/>
        <v>0.24290498894718537</v>
      </c>
      <c r="D272" s="172">
        <f t="shared" si="119"/>
        <v>0.2142565893314345</v>
      </c>
      <c r="E272" s="171">
        <f t="shared" si="106"/>
        <v>42.43656216025987</v>
      </c>
      <c r="F272" s="171"/>
      <c r="G272" s="171">
        <f t="shared" si="114"/>
        <v>0.12678135128188436</v>
      </c>
      <c r="H272" s="171">
        <f t="shared" si="115"/>
        <v>0.12648946464518793</v>
      </c>
      <c r="I272" s="91">
        <f t="shared" si="104"/>
        <v>0.09135407625757867</v>
      </c>
      <c r="J272" s="91">
        <f t="shared" si="105"/>
        <v>29.745695056150083</v>
      </c>
      <c r="K272" s="172">
        <f t="shared" si="120"/>
        <v>0.02527891365679042</v>
      </c>
      <c r="L272" s="177">
        <f t="shared" si="107"/>
        <v>14.025730760712117</v>
      </c>
      <c r="M272" s="178">
        <f t="shared" si="108"/>
        <v>0.15018207992333282</v>
      </c>
      <c r="N272" s="403">
        <f t="shared" si="116"/>
        <v>0</v>
      </c>
      <c r="O272" s="177">
        <f t="shared" si="121"/>
        <v>0.00365229825523309</v>
      </c>
      <c r="P272" s="174">
        <f t="shared" si="123"/>
        <v>0.0014025730760712117</v>
      </c>
      <c r="Q272" s="179">
        <f t="shared" si="109"/>
        <v>0.00504886773161086</v>
      </c>
      <c r="R272" s="179">
        <f t="shared" si="110"/>
        <v>0.010772823127193213</v>
      </c>
      <c r="S272" s="180">
        <f t="shared" si="111"/>
        <v>0.468667096080534</v>
      </c>
      <c r="T272" s="179">
        <f t="shared" si="112"/>
        <v>0.9892271768728067</v>
      </c>
      <c r="U272" s="181">
        <f t="shared" si="113"/>
        <v>0.504886773161086</v>
      </c>
    </row>
    <row r="273" spans="1:22" ht="12.75">
      <c r="A273" s="91">
        <f t="shared" si="122"/>
        <v>2006.9999999999754</v>
      </c>
      <c r="B273" s="171">
        <f t="shared" si="117"/>
        <v>41.89257860631475</v>
      </c>
      <c r="C273" s="171">
        <f t="shared" si="118"/>
        <v>0.2405675870453307</v>
      </c>
      <c r="D273" s="172">
        <f t="shared" si="119"/>
        <v>0.21560549427359296</v>
      </c>
      <c r="E273" s="171">
        <f t="shared" si="106"/>
        <v>42.34875168763368</v>
      </c>
      <c r="F273" s="171"/>
      <c r="G273" s="171">
        <f t="shared" si="114"/>
        <v>0.12651901310439004</v>
      </c>
      <c r="H273" s="171">
        <f t="shared" si="115"/>
        <v>0.12622528882373582</v>
      </c>
      <c r="I273" s="91">
        <f t="shared" si="104"/>
        <v>0.09116055258845411</v>
      </c>
      <c r="J273" s="91">
        <f t="shared" si="105"/>
        <v>29.745695056150083</v>
      </c>
      <c r="K273" s="172">
        <f t="shared" si="120"/>
        <v>0.025526278397396664</v>
      </c>
      <c r="L273" s="177">
        <f t="shared" si="107"/>
        <v>14.228590150013845</v>
      </c>
      <c r="M273" s="178">
        <f t="shared" si="108"/>
        <v>0.1514409523189222</v>
      </c>
      <c r="N273" s="403">
        <f t="shared" si="116"/>
        <v>0</v>
      </c>
      <c r="O273" s="177">
        <f t="shared" si="121"/>
        <v>0.003647997646384247</v>
      </c>
      <c r="P273" s="174">
        <f t="shared" si="123"/>
        <v>0.0014228590150013845</v>
      </c>
      <c r="Q273" s="179">
        <f t="shared" si="109"/>
        <v>0.005091188894159358</v>
      </c>
      <c r="R273" s="179">
        <f t="shared" si="110"/>
        <v>0.010771818840934842</v>
      </c>
      <c r="S273" s="180">
        <f t="shared" si="111"/>
        <v>0.47263966924619344</v>
      </c>
      <c r="T273" s="179">
        <f t="shared" si="112"/>
        <v>0.989228181159065</v>
      </c>
      <c r="U273" s="181">
        <f t="shared" si="113"/>
        <v>0.5091188894159357</v>
      </c>
      <c r="V273">
        <f>IF(ISNUMBER('Set-up'!$N$34)=FALSE,"",('Set-up'!$N$34-'EPP model'!U273)^2)</f>
      </c>
    </row>
    <row r="274" spans="1:21" ht="12.75">
      <c r="A274" s="91">
        <f t="shared" si="122"/>
        <v>2007.0999999999754</v>
      </c>
      <c r="B274" s="171">
        <f t="shared" si="117"/>
        <v>41.80590950745951</v>
      </c>
      <c r="C274" s="171">
        <f t="shared" si="118"/>
        <v>0.23826270474213937</v>
      </c>
      <c r="D274" s="172">
        <f t="shared" si="119"/>
        <v>0.21692364981901024</v>
      </c>
      <c r="E274" s="171">
        <f t="shared" si="106"/>
        <v>42.26109586202066</v>
      </c>
      <c r="F274" s="171"/>
      <c r="G274" s="171">
        <f t="shared" si="114"/>
        <v>0.12625713694257984</v>
      </c>
      <c r="H274" s="171">
        <f t="shared" si="115"/>
        <v>0.1259616169085722</v>
      </c>
      <c r="I274" s="91">
        <f t="shared" si="104"/>
        <v>0.09096805781051659</v>
      </c>
      <c r="J274" s="91">
        <f t="shared" si="105"/>
        <v>29.745695056150083</v>
      </c>
      <c r="K274" s="172">
        <f t="shared" si="120"/>
        <v>0.025777285423290018</v>
      </c>
      <c r="L274" s="177">
        <f t="shared" si="107"/>
        <v>14.432480622389098</v>
      </c>
      <c r="M274" s="178">
        <f t="shared" si="108"/>
        <v>0.15268285420355507</v>
      </c>
      <c r="N274" s="403">
        <f t="shared" si="116"/>
        <v>0</v>
      </c>
      <c r="O274" s="177">
        <f t="shared" si="121"/>
        <v>0.0036431784479210097</v>
      </c>
      <c r="P274" s="174">
        <f t="shared" si="123"/>
        <v>0.0014432480622389098</v>
      </c>
      <c r="Q274" s="179">
        <f t="shared" si="109"/>
        <v>0.00513293953680827</v>
      </c>
      <c r="R274" s="179">
        <f t="shared" si="110"/>
        <v>0.01077081285462401</v>
      </c>
      <c r="S274" s="180">
        <f t="shared" si="111"/>
        <v>0.47656008939052846</v>
      </c>
      <c r="T274" s="179">
        <f t="shared" si="112"/>
        <v>0.989229187145376</v>
      </c>
      <c r="U274" s="181">
        <f t="shared" si="113"/>
        <v>0.513293953680827</v>
      </c>
    </row>
    <row r="275" spans="1:21" ht="12.75">
      <c r="A275" s="91">
        <f t="shared" si="122"/>
        <v>2007.1999999999753</v>
      </c>
      <c r="B275" s="171">
        <f t="shared" si="117"/>
        <v>41.71939348314746</v>
      </c>
      <c r="C275" s="171">
        <f t="shared" si="118"/>
        <v>0.23599088946638833</v>
      </c>
      <c r="D275" s="172">
        <f t="shared" si="119"/>
        <v>0.21821058525648057</v>
      </c>
      <c r="E275" s="171">
        <f t="shared" si="106"/>
        <v>42.17359495787033</v>
      </c>
      <c r="F275" s="171"/>
      <c r="G275" s="171">
        <f t="shared" si="114"/>
        <v>0.12599572361638553</v>
      </c>
      <c r="H275" s="171">
        <f t="shared" si="115"/>
        <v>0.12569845036088928</v>
      </c>
      <c r="I275" s="91">
        <f t="shared" si="104"/>
        <v>0.09077658768405217</v>
      </c>
      <c r="J275" s="91">
        <f t="shared" si="105"/>
        <v>29.745695056150083</v>
      </c>
      <c r="K275" s="172">
        <f t="shared" si="120"/>
        <v>0.026031125758344032</v>
      </c>
      <c r="L275" s="177">
        <f t="shared" si="107"/>
        <v>14.63736234288841</v>
      </c>
      <c r="M275" s="178">
        <f t="shared" si="108"/>
        <v>0.15390733309663016</v>
      </c>
      <c r="N275" s="403">
        <f t="shared" si="116"/>
        <v>0</v>
      </c>
      <c r="O275" s="177">
        <f t="shared" si="121"/>
        <v>0.0036378629810288757</v>
      </c>
      <c r="P275" s="174">
        <f t="shared" si="123"/>
        <v>0.0014637362342888411</v>
      </c>
      <c r="Q275" s="179">
        <f t="shared" si="109"/>
        <v>0.005174104447924439</v>
      </c>
      <c r="R275" s="179">
        <f t="shared" si="110"/>
        <v>0.01076980691773128</v>
      </c>
      <c r="S275" s="180">
        <f t="shared" si="111"/>
        <v>0.48042685328052226</v>
      </c>
      <c r="T275" s="179">
        <f t="shared" si="112"/>
        <v>0.9892301930822688</v>
      </c>
      <c r="U275" s="181">
        <f t="shared" si="113"/>
        <v>0.5174104447924439</v>
      </c>
    </row>
    <row r="276" spans="1:21" ht="12.75">
      <c r="A276" s="91">
        <f t="shared" si="122"/>
        <v>2007.2999999999752</v>
      </c>
      <c r="B276" s="171">
        <f t="shared" si="117"/>
        <v>41.63303069368144</v>
      </c>
      <c r="C276" s="171">
        <f t="shared" si="118"/>
        <v>0.23375262441054004</v>
      </c>
      <c r="D276" s="172">
        <f t="shared" si="119"/>
        <v>0.2194658574254823</v>
      </c>
      <c r="E276" s="171">
        <f t="shared" si="106"/>
        <v>42.086249175517466</v>
      </c>
      <c r="F276" s="171"/>
      <c r="G276" s="171">
        <f t="shared" si="114"/>
        <v>0.1257347737243172</v>
      </c>
      <c r="H276" s="171">
        <f t="shared" si="115"/>
        <v>0.12543579038292493</v>
      </c>
      <c r="I276" s="91">
        <f t="shared" si="104"/>
        <v>0.09058606525923847</v>
      </c>
      <c r="J276" s="91">
        <f t="shared" si="105"/>
        <v>29.745695056150083</v>
      </c>
      <c r="K276" s="172">
        <f t="shared" si="120"/>
        <v>0.026287385673539727</v>
      </c>
      <c r="L276" s="177">
        <f t="shared" si="107"/>
        <v>14.843191463566564</v>
      </c>
      <c r="M276" s="178">
        <f t="shared" si="108"/>
        <v>0.15511395284929527</v>
      </c>
      <c r="N276" s="403">
        <f t="shared" si="116"/>
        <v>0</v>
      </c>
      <c r="O276" s="177">
        <f t="shared" si="121"/>
        <v>0.003632072843287346</v>
      </c>
      <c r="P276" s="174">
        <f t="shared" si="123"/>
        <v>0.0014843191463566564</v>
      </c>
      <c r="Q276" s="179">
        <f t="shared" si="109"/>
        <v>0.005214668964920509</v>
      </c>
      <c r="R276" s="179">
        <f t="shared" si="110"/>
        <v>0.010768801941601151</v>
      </c>
      <c r="S276" s="180">
        <f t="shared" si="111"/>
        <v>0.48423854326595317</v>
      </c>
      <c r="T276" s="179">
        <f t="shared" si="112"/>
        <v>0.9892311980583988</v>
      </c>
      <c r="U276" s="181">
        <f t="shared" si="113"/>
        <v>0.5214668964920509</v>
      </c>
    </row>
    <row r="277" spans="1:21" ht="12.75">
      <c r="A277" s="91">
        <f t="shared" si="122"/>
        <v>2007.399999999975</v>
      </c>
      <c r="B277" s="171">
        <f t="shared" si="117"/>
        <v>41.54682145604377</v>
      </c>
      <c r="C277" s="171">
        <f t="shared" si="118"/>
        <v>0.23154835317980205</v>
      </c>
      <c r="D277" s="172">
        <f t="shared" si="119"/>
        <v>0.2206890507260419</v>
      </c>
      <c r="E277" s="171">
        <f t="shared" si="106"/>
        <v>41.99905885994962</v>
      </c>
      <c r="F277" s="171"/>
      <c r="G277" s="171">
        <f t="shared" si="114"/>
        <v>0.12547428829704252</v>
      </c>
      <c r="H277" s="171">
        <f t="shared" si="115"/>
        <v>0.12517363857152805</v>
      </c>
      <c r="I277" s="91">
        <f t="shared" si="104"/>
        <v>0.09039663164232163</v>
      </c>
      <c r="J277" s="91">
        <f t="shared" si="105"/>
        <v>29.745695056150083</v>
      </c>
      <c r="K277" s="172">
        <f t="shared" si="120"/>
        <v>0.026545851273394584</v>
      </c>
      <c r="L277" s="177">
        <f t="shared" si="107"/>
        <v>15.049923529429693</v>
      </c>
      <c r="M277" s="178">
        <f t="shared" si="108"/>
        <v>0.15630229303514334</v>
      </c>
      <c r="N277" s="403">
        <f t="shared" si="116"/>
        <v>0</v>
      </c>
      <c r="O277" s="177">
        <f t="shared" si="121"/>
        <v>0.003625829356121554</v>
      </c>
      <c r="P277" s="174">
        <f t="shared" si="123"/>
        <v>0.0015049923529429693</v>
      </c>
      <c r="Q277" s="179">
        <f t="shared" si="109"/>
        <v>0.005254618953771161</v>
      </c>
      <c r="R277" s="179">
        <f t="shared" si="110"/>
        <v>0.010767798521721123</v>
      </c>
      <c r="S277" s="180">
        <f t="shared" si="111"/>
        <v>0.48799380329891834</v>
      </c>
      <c r="T277" s="179">
        <f t="shared" si="112"/>
        <v>0.9892322014782788</v>
      </c>
      <c r="U277" s="181">
        <f t="shared" si="113"/>
        <v>0.5254618953771161</v>
      </c>
    </row>
    <row r="278" spans="1:21" ht="12.75">
      <c r="A278" s="91">
        <f t="shared" si="122"/>
        <v>2007.499999999975</v>
      </c>
      <c r="B278" s="171">
        <f t="shared" si="117"/>
        <v>41.46076602475663</v>
      </c>
      <c r="C278" s="171">
        <f t="shared" si="118"/>
        <v>0.22937848107564088</v>
      </c>
      <c r="D278" s="172">
        <f t="shared" si="119"/>
        <v>0.22187977707821135</v>
      </c>
      <c r="E278" s="171">
        <f t="shared" si="106"/>
        <v>41.91202428291049</v>
      </c>
      <c r="F278" s="171"/>
      <c r="G278" s="171">
        <f t="shared" si="114"/>
        <v>0.12521426814640924</v>
      </c>
      <c r="H278" s="171">
        <f t="shared" si="115"/>
        <v>0.12491199626723666</v>
      </c>
      <c r="I278" s="91">
        <f t="shared" si="104"/>
        <v>0.09020821058747691</v>
      </c>
      <c r="J278" s="91">
        <f t="shared" si="105"/>
        <v>29.745695056150083</v>
      </c>
      <c r="K278" s="172">
        <f t="shared" si="120"/>
        <v>0.026806382227975812</v>
      </c>
      <c r="L278" s="177">
        <f t="shared" si="107"/>
        <v>15.257512294491029</v>
      </c>
      <c r="M278" s="178">
        <f t="shared" si="108"/>
        <v>0.15747194990021404</v>
      </c>
      <c r="N278" s="403">
        <f t="shared" si="116"/>
        <v>0</v>
      </c>
      <c r="O278" s="177">
        <f t="shared" si="121"/>
        <v>0.0036191538550514285</v>
      </c>
      <c r="P278" s="174">
        <f t="shared" si="123"/>
        <v>0.0015257512294491028</v>
      </c>
      <c r="Q278" s="179">
        <f t="shared" si="109"/>
        <v>0.005293940840950558</v>
      </c>
      <c r="R278" s="179">
        <f t="shared" si="110"/>
        <v>0.010766797020058312</v>
      </c>
      <c r="S278" s="180">
        <f t="shared" si="111"/>
        <v>0.49169133876008436</v>
      </c>
      <c r="T278" s="179">
        <f t="shared" si="112"/>
        <v>0.9892332029799416</v>
      </c>
      <c r="U278" s="181">
        <f t="shared" si="113"/>
        <v>0.5293940840950558</v>
      </c>
    </row>
    <row r="279" spans="1:21" ht="12.75">
      <c r="A279" s="91">
        <f t="shared" si="122"/>
        <v>2007.599999999975</v>
      </c>
      <c r="B279" s="171">
        <f t="shared" si="117"/>
        <v>41.374864656726935</v>
      </c>
      <c r="C279" s="171">
        <f t="shared" si="118"/>
        <v>0.22724338224840304</v>
      </c>
      <c r="D279" s="172">
        <f t="shared" si="119"/>
        <v>0.22303767597843085</v>
      </c>
      <c r="E279" s="171">
        <f t="shared" si="106"/>
        <v>41.82514571495377</v>
      </c>
      <c r="F279" s="171"/>
      <c r="G279" s="171">
        <f t="shared" si="114"/>
        <v>0.12495471408071016</v>
      </c>
      <c r="H279" s="171">
        <f t="shared" si="115"/>
        <v>0.12465086476946573</v>
      </c>
      <c r="I279" s="91">
        <f t="shared" si="104"/>
        <v>0.09002079741719947</v>
      </c>
      <c r="J279" s="91">
        <f t="shared" si="105"/>
        <v>29.745695056150083</v>
      </c>
      <c r="K279" s="172">
        <f t="shared" si="120"/>
        <v>0.02706889383910988</v>
      </c>
      <c r="L279" s="177">
        <f t="shared" si="107"/>
        <v>15.465909920690754</v>
      </c>
      <c r="M279" s="178">
        <f t="shared" si="108"/>
        <v>0.15862253633021559</v>
      </c>
      <c r="N279" s="403">
        <f t="shared" si="116"/>
        <v>0</v>
      </c>
      <c r="O279" s="177">
        <f t="shared" si="121"/>
        <v>0.003612067668013051</v>
      </c>
      <c r="P279" s="174">
        <f t="shared" si="123"/>
        <v>0.0015465909920690754</v>
      </c>
      <c r="Q279" s="179">
        <f t="shared" si="109"/>
        <v>0.0053326216123304035</v>
      </c>
      <c r="R279" s="179">
        <f t="shared" si="110"/>
        <v>0.010765797716416434</v>
      </c>
      <c r="S279" s="180">
        <f t="shared" si="111"/>
        <v>0.4953299098494906</v>
      </c>
      <c r="T279" s="179">
        <f t="shared" si="112"/>
        <v>0.9892342022835835</v>
      </c>
      <c r="U279" s="181">
        <f t="shared" si="113"/>
        <v>0.5332621612330404</v>
      </c>
    </row>
    <row r="280" spans="1:21" ht="12.75">
      <c r="A280" s="91">
        <f t="shared" si="122"/>
        <v>2007.6999999999748</v>
      </c>
      <c r="B280" s="171">
        <f t="shared" si="117"/>
        <v>41.28911761002782</v>
      </c>
      <c r="C280" s="171">
        <f t="shared" si="118"/>
        <v>0.22514340150513562</v>
      </c>
      <c r="D280" s="172">
        <f t="shared" si="119"/>
        <v>0.22416241458605465</v>
      </c>
      <c r="E280" s="171">
        <f t="shared" si="106"/>
        <v>41.73842342611901</v>
      </c>
      <c r="F280" s="171"/>
      <c r="G280" s="171">
        <f t="shared" si="114"/>
        <v>0.12469562690670187</v>
      </c>
      <c r="H280" s="171">
        <f t="shared" si="115"/>
        <v>0.12439024533840824</v>
      </c>
      <c r="I280" s="91">
        <f t="shared" si="104"/>
        <v>0.08983438796557285</v>
      </c>
      <c r="J280" s="91">
        <f t="shared" si="105"/>
        <v>29.745695056150083</v>
      </c>
      <c r="K280" s="172">
        <f t="shared" si="120"/>
        <v>0.027333319613764295</v>
      </c>
      <c r="L280" s="177">
        <f t="shared" si="107"/>
        <v>15.675067173313002</v>
      </c>
      <c r="M280" s="178">
        <f t="shared" si="108"/>
        <v>0.1597536820989377</v>
      </c>
      <c r="N280" s="403">
        <f t="shared" si="116"/>
        <v>0</v>
      </c>
      <c r="O280" s="177">
        <f t="shared" si="121"/>
        <v>0.003604592165649838</v>
      </c>
      <c r="P280" s="174">
        <f t="shared" si="123"/>
        <v>0.0015675067173313002</v>
      </c>
      <c r="Q280" s="179">
        <f t="shared" si="109"/>
        <v>0.00537064882153116</v>
      </c>
      <c r="R280" s="179">
        <f t="shared" si="110"/>
        <v>0.010764800852780277</v>
      </c>
      <c r="S280" s="180">
        <f t="shared" si="111"/>
        <v>0.49890833049122846</v>
      </c>
      <c r="T280" s="179">
        <f t="shared" si="112"/>
        <v>0.9892351991472197</v>
      </c>
      <c r="U280" s="181">
        <f t="shared" si="113"/>
        <v>0.537064882153116</v>
      </c>
    </row>
    <row r="281" spans="1:21" ht="12.75">
      <c r="A281" s="91">
        <f t="shared" si="122"/>
        <v>2007.7999999999747</v>
      </c>
      <c r="B281" s="171">
        <f t="shared" si="117"/>
        <v>41.2035251431988</v>
      </c>
      <c r="C281" s="171">
        <f t="shared" si="118"/>
        <v>0.22307885512132938</v>
      </c>
      <c r="D281" s="172">
        <f t="shared" si="119"/>
        <v>0.22525368776773352</v>
      </c>
      <c r="E281" s="171">
        <f t="shared" si="106"/>
        <v>41.651857686087865</v>
      </c>
      <c r="F281" s="171"/>
      <c r="G281" s="171">
        <f t="shared" si="114"/>
        <v>0.12443700743007183</v>
      </c>
      <c r="H281" s="171">
        <f t="shared" si="115"/>
        <v>0.12413013919544176</v>
      </c>
      <c r="I281" s="91">
        <f aca="true" t="shared" si="124" ref="I281:I344">H131*l</f>
        <v>0.08964897808119275</v>
      </c>
      <c r="J281" s="91">
        <f t="shared" si="105"/>
        <v>29.745695056150083</v>
      </c>
      <c r="K281" s="172">
        <f t="shared" si="120"/>
        <v>0.027599600333689776</v>
      </c>
      <c r="L281" s="177">
        <f t="shared" si="107"/>
        <v>15.8776929410758</v>
      </c>
      <c r="M281" s="178">
        <f t="shared" si="108"/>
        <v>0.16086503409066966</v>
      </c>
      <c r="N281" s="403">
        <f t="shared" si="116"/>
        <v>0</v>
      </c>
      <c r="O281" s="177">
        <f t="shared" si="121"/>
        <v>0.003596748739072493</v>
      </c>
      <c r="P281" s="174">
        <f t="shared" si="123"/>
        <v>0.00158776929410758</v>
      </c>
      <c r="Q281" s="179">
        <f t="shared" si="109"/>
        <v>0.005408010597399369</v>
      </c>
      <c r="R281" s="179">
        <f t="shared" si="110"/>
        <v>0.010763806653425939</v>
      </c>
      <c r="S281" s="180">
        <f t="shared" si="111"/>
        <v>0.5024254681941996</v>
      </c>
      <c r="T281" s="179">
        <f t="shared" si="112"/>
        <v>0.9892361933465741</v>
      </c>
      <c r="U281" s="181">
        <f t="shared" si="113"/>
        <v>0.5408010597399369</v>
      </c>
    </row>
    <row r="282" spans="1:21" ht="12.75">
      <c r="A282" s="91">
        <f t="shared" si="122"/>
        <v>2007.8999999999746</v>
      </c>
      <c r="B282" s="171">
        <f t="shared" si="117"/>
        <v>41.118087515004255</v>
      </c>
      <c r="C282" s="171">
        <f t="shared" si="118"/>
        <v>0.22105003122948585</v>
      </c>
      <c r="D282" s="172">
        <f t="shared" si="119"/>
        <v>0.22631194215314304</v>
      </c>
      <c r="E282" s="171">
        <f t="shared" si="106"/>
        <v>41.56544948838689</v>
      </c>
      <c r="F282" s="171"/>
      <c r="G282" s="171">
        <f t="shared" si="114"/>
        <v>0.12417885861903027</v>
      </c>
      <c r="H282" s="171">
        <f t="shared" si="115"/>
        <v>0.12387054870032276</v>
      </c>
      <c r="I282" s="91">
        <f t="shared" si="124"/>
        <v>0.08946456362627578</v>
      </c>
      <c r="J282" s="91">
        <f t="shared" si="105"/>
        <v>29.745695056150083</v>
      </c>
      <c r="K282" s="172">
        <f t="shared" si="120"/>
        <v>0.027867679039122694</v>
      </c>
      <c r="L282" s="177">
        <f t="shared" si="107"/>
        <v>16.08789837089063</v>
      </c>
      <c r="M282" s="178">
        <f t="shared" si="108"/>
        <v>0.16195677183121265</v>
      </c>
      <c r="N282" s="403">
        <f t="shared" si="116"/>
        <v>0</v>
      </c>
      <c r="O282" s="177">
        <f t="shared" si="121"/>
        <v>0.003588558763400021</v>
      </c>
      <c r="P282" s="174">
        <f t="shared" si="123"/>
        <v>0.0016087898370890632</v>
      </c>
      <c r="Q282" s="179">
        <f t="shared" si="109"/>
        <v>0.005444712975289082</v>
      </c>
      <c r="R282" s="179">
        <f t="shared" si="110"/>
        <v>0.010762832566206674</v>
      </c>
      <c r="S282" s="180">
        <f t="shared" si="111"/>
        <v>0.5058810440278042</v>
      </c>
      <c r="T282" s="179">
        <f t="shared" si="112"/>
        <v>0.9892371674337932</v>
      </c>
      <c r="U282" s="181">
        <f t="shared" si="113"/>
        <v>0.5444712975289082</v>
      </c>
    </row>
    <row r="283" spans="1:22" ht="12.75">
      <c r="A283" s="91">
        <f t="shared" si="122"/>
        <v>2007.9999999999745</v>
      </c>
      <c r="B283" s="171">
        <f t="shared" si="117"/>
        <v>41.032805405084396</v>
      </c>
      <c r="C283" s="171">
        <f t="shared" si="118"/>
        <v>0.21905675796526017</v>
      </c>
      <c r="D283" s="172">
        <f t="shared" si="119"/>
        <v>0.2273362440969023</v>
      </c>
      <c r="E283" s="171">
        <f t="shared" si="106"/>
        <v>41.47919840714656</v>
      </c>
      <c r="F283" s="171"/>
      <c r="G283" s="171">
        <f t="shared" si="114"/>
        <v>0.12392117920127073</v>
      </c>
      <c r="H283" s="171">
        <f t="shared" si="115"/>
        <v>0.12361147385267113</v>
      </c>
      <c r="I283" s="91">
        <f t="shared" si="124"/>
        <v>0.08928114047666226</v>
      </c>
      <c r="J283" s="91">
        <f t="shared" si="105"/>
        <v>29.745695056150083</v>
      </c>
      <c r="K283" s="172">
        <f t="shared" si="120"/>
        <v>0.0281327868335487</v>
      </c>
      <c r="L283" s="177">
        <f t="shared" si="107"/>
        <v>16.298991143086035</v>
      </c>
      <c r="M283" s="178">
        <f t="shared" si="108"/>
        <v>0.16302809243661434</v>
      </c>
      <c r="N283" s="403">
        <f t="shared" si="116"/>
        <v>0</v>
      </c>
      <c r="O283" s="177">
        <f t="shared" si="121"/>
        <v>0.0035800549471116275</v>
      </c>
      <c r="P283" s="174">
        <f t="shared" si="123"/>
        <v>0.0016298991143086036</v>
      </c>
      <c r="Q283" s="179">
        <f t="shared" si="109"/>
        <v>0.0054807289635986295</v>
      </c>
      <c r="R283" s="179">
        <f t="shared" si="110"/>
        <v>0.010761852186257588</v>
      </c>
      <c r="S283" s="180">
        <f t="shared" si="111"/>
        <v>0.5092737633580658</v>
      </c>
      <c r="T283" s="179">
        <f t="shared" si="112"/>
        <v>0.9892381478137423</v>
      </c>
      <c r="U283" s="181">
        <f t="shared" si="113"/>
        <v>0.548072896359863</v>
      </c>
      <c r="V283">
        <f>IF(ISNUMBER('Set-up'!$N$35)=FALSE,"",('Set-up'!$N$35-'EPP model'!U283)^2)</f>
      </c>
    </row>
    <row r="284" spans="1:21" ht="12.75">
      <c r="A284" s="91">
        <f t="shared" si="122"/>
        <v>2008.0999999999744</v>
      </c>
      <c r="B284" s="171">
        <f t="shared" si="117"/>
        <v>40.947678846256764</v>
      </c>
      <c r="C284" s="171">
        <f t="shared" si="118"/>
        <v>0.2170995008032854</v>
      </c>
      <c r="D284" s="172">
        <f t="shared" si="119"/>
        <v>0.22832633634071034</v>
      </c>
      <c r="E284" s="171">
        <f t="shared" si="106"/>
        <v>41.39310468340076</v>
      </c>
      <c r="F284" s="171"/>
      <c r="G284" s="171">
        <f t="shared" si="114"/>
        <v>0.12366396989689395</v>
      </c>
      <c r="H284" s="171">
        <f t="shared" si="115"/>
        <v>0.12335291572305654</v>
      </c>
      <c r="I284" s="91">
        <f t="shared" si="124"/>
        <v>0.08909870452180824</v>
      </c>
      <c r="J284" s="91">
        <f t="shared" si="105"/>
        <v>29.745695056150083</v>
      </c>
      <c r="K284" s="172">
        <f t="shared" si="120"/>
        <v>0.028402079396601276</v>
      </c>
      <c r="L284" s="177">
        <f t="shared" si="107"/>
        <v>16.510610395727483</v>
      </c>
      <c r="M284" s="178">
        <f t="shared" si="108"/>
        <v>0.16407867025259187</v>
      </c>
      <c r="N284" s="403">
        <f t="shared" si="116"/>
        <v>0</v>
      </c>
      <c r="O284" s="177">
        <f t="shared" si="121"/>
        <v>0.0035712405386425492</v>
      </c>
      <c r="P284" s="174">
        <f t="shared" si="123"/>
        <v>0.0016510610395727482</v>
      </c>
      <c r="Q284" s="179">
        <f t="shared" si="109"/>
        <v>0.005516047614381353</v>
      </c>
      <c r="R284" s="179">
        <f t="shared" si="110"/>
        <v>0.010760870452962618</v>
      </c>
      <c r="S284" s="180">
        <f t="shared" si="111"/>
        <v>0.5126023622803403</v>
      </c>
      <c r="T284" s="179">
        <f t="shared" si="112"/>
        <v>0.9892391295470374</v>
      </c>
      <c r="U284" s="181">
        <f t="shared" si="113"/>
        <v>0.5516047614381353</v>
      </c>
    </row>
    <row r="285" spans="1:21" ht="12.75">
      <c r="A285" s="91">
        <f t="shared" si="122"/>
        <v>2008.1999999999744</v>
      </c>
      <c r="B285" s="171">
        <f t="shared" si="117"/>
        <v>40.86270798485582</v>
      </c>
      <c r="C285" s="171">
        <f t="shared" si="118"/>
        <v>0.21517858131687473</v>
      </c>
      <c r="D285" s="172">
        <f t="shared" si="119"/>
        <v>0.22928202299135012</v>
      </c>
      <c r="E285" s="171">
        <f t="shared" si="106"/>
        <v>41.30716858916404</v>
      </c>
      <c r="F285" s="171"/>
      <c r="G285" s="171">
        <f t="shared" si="114"/>
        <v>0.12340723151855704</v>
      </c>
      <c r="H285" s="171">
        <f t="shared" si="115"/>
        <v>0.12309487539100582</v>
      </c>
      <c r="I285" s="91">
        <f t="shared" si="124"/>
        <v>0.08891725166476919</v>
      </c>
      <c r="J285" s="91">
        <f t="shared" si="105"/>
        <v>29.745695056150083</v>
      </c>
      <c r="K285" s="172">
        <f t="shared" si="120"/>
        <v>0.02867425056017804</v>
      </c>
      <c r="L285" s="177">
        <f t="shared" si="107"/>
        <v>16.72270769061915</v>
      </c>
      <c r="M285" s="178">
        <f t="shared" si="108"/>
        <v>0.16510822142254017</v>
      </c>
      <c r="N285" s="403">
        <f t="shared" si="116"/>
        <v>0</v>
      </c>
      <c r="O285" s="177">
        <f t="shared" si="121"/>
        <v>0.0035621397404304576</v>
      </c>
      <c r="P285" s="174">
        <f t="shared" si="123"/>
        <v>0.0016722707690619149</v>
      </c>
      <c r="Q285" s="179">
        <f t="shared" si="109"/>
        <v>0.005550659384857882</v>
      </c>
      <c r="R285" s="179">
        <f t="shared" si="110"/>
        <v>0.010759890340797131</v>
      </c>
      <c r="S285" s="180">
        <f t="shared" si="111"/>
        <v>0.5158657950083411</v>
      </c>
      <c r="T285" s="179">
        <f t="shared" si="112"/>
        <v>0.9892401096592028</v>
      </c>
      <c r="U285" s="181">
        <f t="shared" si="113"/>
        <v>0.5550659384857882</v>
      </c>
    </row>
    <row r="286" spans="1:21" ht="12.75">
      <c r="A286" s="91">
        <f t="shared" si="122"/>
        <v>2008.2999999999743</v>
      </c>
      <c r="B286" s="171">
        <f t="shared" si="117"/>
        <v>40.77789303473504</v>
      </c>
      <c r="C286" s="171">
        <f t="shared" si="118"/>
        <v>0.21329422478661492</v>
      </c>
      <c r="D286" s="172">
        <f t="shared" si="119"/>
        <v>0.23020313655157557</v>
      </c>
      <c r="E286" s="171">
        <f t="shared" si="106"/>
        <v>41.221390396073225</v>
      </c>
      <c r="F286" s="171"/>
      <c r="G286" s="171">
        <f t="shared" si="114"/>
        <v>0.1231509648777886</v>
      </c>
      <c r="H286" s="171">
        <f t="shared" si="115"/>
        <v>0.12283735389623285</v>
      </c>
      <c r="I286" s="91">
        <f t="shared" si="124"/>
        <v>0.0887367778221784</v>
      </c>
      <c r="J286" s="91">
        <f t="shared" si="105"/>
        <v>29.745695056150083</v>
      </c>
      <c r="K286" s="172">
        <f t="shared" si="120"/>
        <v>0.02894849646142446</v>
      </c>
      <c r="L286" s="177">
        <f t="shared" si="107"/>
        <v>16.935233140063175</v>
      </c>
      <c r="M286" s="178">
        <f t="shared" si="108"/>
        <v>0.1661164806678803</v>
      </c>
      <c r="N286" s="403">
        <f t="shared" si="116"/>
        <v>0</v>
      </c>
      <c r="O286" s="177">
        <f t="shared" si="121"/>
        <v>0.0035527752849454624</v>
      </c>
      <c r="P286" s="174">
        <f t="shared" si="123"/>
        <v>0.0016935233140063174</v>
      </c>
      <c r="Q286" s="179">
        <f t="shared" si="109"/>
        <v>0.005584555356810693</v>
      </c>
      <c r="R286" s="179">
        <f t="shared" si="110"/>
        <v>0.010758913202026255</v>
      </c>
      <c r="S286" s="180">
        <f t="shared" si="111"/>
        <v>0.5190631481030016</v>
      </c>
      <c r="T286" s="179">
        <f t="shared" si="112"/>
        <v>0.9892410867979738</v>
      </c>
      <c r="U286" s="181">
        <f t="shared" si="113"/>
        <v>0.5584555356810693</v>
      </c>
    </row>
    <row r="287" spans="1:21" ht="12.75">
      <c r="A287" s="91">
        <f t="shared" si="122"/>
        <v>2008.3999999999742</v>
      </c>
      <c r="B287" s="171">
        <f t="shared" si="117"/>
        <v>40.693234167767294</v>
      </c>
      <c r="C287" s="171">
        <f t="shared" si="118"/>
        <v>0.2114465984173631</v>
      </c>
      <c r="D287" s="172">
        <f t="shared" si="119"/>
        <v>0.23108953663841975</v>
      </c>
      <c r="E287" s="171">
        <f t="shared" si="106"/>
        <v>41.135770302823076</v>
      </c>
      <c r="F287" s="171"/>
      <c r="G287" s="171">
        <f t="shared" si="114"/>
        <v>0.1228951705681991</v>
      </c>
      <c r="H287" s="171">
        <f t="shared" si="115"/>
        <v>0.12258035202359513</v>
      </c>
      <c r="I287" s="91">
        <f t="shared" si="124"/>
        <v>0.08855720619982652</v>
      </c>
      <c r="J287" s="91">
        <f t="shared" si="105"/>
        <v>29.745695056150083</v>
      </c>
      <c r="K287" s="172">
        <f t="shared" si="120"/>
        <v>0.02922444280777785</v>
      </c>
      <c r="L287" s="177">
        <f t="shared" si="107"/>
        <v>17.148132757564618</v>
      </c>
      <c r="M287" s="178">
        <f t="shared" si="108"/>
        <v>0.16710320086170138</v>
      </c>
      <c r="N287" s="403">
        <f t="shared" si="116"/>
        <v>0</v>
      </c>
      <c r="O287" s="177">
        <f t="shared" si="121"/>
        <v>0.003543168596833623</v>
      </c>
      <c r="P287" s="174">
        <f t="shared" si="123"/>
        <v>0.0017148132757564619</v>
      </c>
      <c r="Q287" s="179">
        <f t="shared" si="109"/>
        <v>0.005617727222250667</v>
      </c>
      <c r="R287" s="179">
        <f t="shared" si="110"/>
        <v>0.010757939666573166</v>
      </c>
      <c r="S287" s="180">
        <f t="shared" si="111"/>
        <v>0.5221935980646876</v>
      </c>
      <c r="T287" s="179">
        <f t="shared" si="112"/>
        <v>0.9892420603334269</v>
      </c>
      <c r="U287" s="181">
        <f t="shared" si="113"/>
        <v>0.5617727222250667</v>
      </c>
    </row>
    <row r="288" spans="1:21" ht="12.75">
      <c r="A288" s="91">
        <f t="shared" si="122"/>
        <v>2008.499999999974</v>
      </c>
      <c r="B288" s="171">
        <f t="shared" si="117"/>
        <v>40.60873170840606</v>
      </c>
      <c r="C288" s="171">
        <f t="shared" si="118"/>
        <v>0.20963583599289426</v>
      </c>
      <c r="D288" s="172">
        <f t="shared" si="119"/>
        <v>0.23194110951956454</v>
      </c>
      <c r="E288" s="171">
        <f t="shared" si="106"/>
        <v>41.05030865391852</v>
      </c>
      <c r="F288" s="171"/>
      <c r="G288" s="171">
        <f t="shared" si="114"/>
        <v>0.1226398496190143</v>
      </c>
      <c r="H288" s="171">
        <f t="shared" si="115"/>
        <v>0.1223238709572585</v>
      </c>
      <c r="I288" s="91">
        <f t="shared" si="124"/>
        <v>0.08837867804065323</v>
      </c>
      <c r="J288" s="91">
        <f t="shared" si="105"/>
        <v>29.745695056150083</v>
      </c>
      <c r="K288" s="172">
        <f t="shared" si="120"/>
        <v>0.02950190794172052</v>
      </c>
      <c r="L288" s="177">
        <f t="shared" si="107"/>
        <v>17.36135200768932</v>
      </c>
      <c r="M288" s="178">
        <f t="shared" si="108"/>
        <v>0.168068152006343</v>
      </c>
      <c r="N288" s="403">
        <f t="shared" si="116"/>
        <v>0</v>
      </c>
      <c r="O288" s="177">
        <f t="shared" si="121"/>
        <v>0.0035333403406860135</v>
      </c>
      <c r="P288" s="174">
        <f t="shared" si="123"/>
        <v>0.001736135200768932</v>
      </c>
      <c r="Q288" s="179">
        <f t="shared" si="109"/>
        <v>0.005650167249045135</v>
      </c>
      <c r="R288" s="179">
        <f t="shared" si="110"/>
        <v>0.010756970166418162</v>
      </c>
      <c r="S288" s="180">
        <f t="shared" si="111"/>
        <v>0.5252563836873148</v>
      </c>
      <c r="T288" s="179">
        <f t="shared" si="112"/>
        <v>0.9892430298335818</v>
      </c>
      <c r="U288" s="181">
        <f t="shared" si="113"/>
        <v>0.5650167249045135</v>
      </c>
    </row>
    <row r="289" spans="1:21" ht="12.75">
      <c r="A289" s="91">
        <f t="shared" si="122"/>
        <v>2008.599999999974</v>
      </c>
      <c r="B289" s="171">
        <f t="shared" si="117"/>
        <v>40.524385917596774</v>
      </c>
      <c r="C289" s="171">
        <f t="shared" si="118"/>
        <v>0.2078620367162776</v>
      </c>
      <c r="D289" s="172">
        <f t="shared" si="119"/>
        <v>0.23275776763058884</v>
      </c>
      <c r="E289" s="171">
        <f t="shared" si="106"/>
        <v>40.96500572194364</v>
      </c>
      <c r="F289" s="171"/>
      <c r="G289" s="171">
        <f t="shared" si="114"/>
        <v>0.12238500284459274</v>
      </c>
      <c r="H289" s="171">
        <f t="shared" si="115"/>
        <v>0.1220679116308725</v>
      </c>
      <c r="I289" s="91">
        <f t="shared" si="124"/>
        <v>0.08820111741176578</v>
      </c>
      <c r="J289" s="91">
        <f t="shared" si="105"/>
        <v>29.745695056150083</v>
      </c>
      <c r="K289" s="172">
        <f t="shared" si="120"/>
        <v>0.029780760615074668</v>
      </c>
      <c r="L289" s="177">
        <f t="shared" si="107"/>
        <v>17.57483473472125</v>
      </c>
      <c r="M289" s="178">
        <f t="shared" si="108"/>
        <v>0.16901112195331677</v>
      </c>
      <c r="N289" s="403">
        <f t="shared" si="116"/>
        <v>0</v>
      </c>
      <c r="O289" s="177">
        <f t="shared" si="121"/>
        <v>0.0035233107549630543</v>
      </c>
      <c r="P289" s="174">
        <f t="shared" si="123"/>
        <v>0.001757483473472125</v>
      </c>
      <c r="Q289" s="179">
        <f t="shared" si="109"/>
        <v>0.005681868305120435</v>
      </c>
      <c r="R289" s="179">
        <f t="shared" si="110"/>
        <v>0.010756004950606916</v>
      </c>
      <c r="S289" s="180">
        <f t="shared" si="111"/>
        <v>0.5282508079172864</v>
      </c>
      <c r="T289" s="179">
        <f t="shared" si="112"/>
        <v>0.9892439950493931</v>
      </c>
      <c r="U289" s="181">
        <f t="shared" si="113"/>
        <v>0.5681868305120434</v>
      </c>
    </row>
    <row r="290" spans="1:21" ht="12.75">
      <c r="A290" s="91">
        <f t="shared" si="122"/>
        <v>2008.699999999974</v>
      </c>
      <c r="B290" s="171">
        <f t="shared" si="117"/>
        <v>40.44019705787394</v>
      </c>
      <c r="C290" s="171">
        <f t="shared" si="118"/>
        <v>0.2061252722631762</v>
      </c>
      <c r="D290" s="172">
        <f t="shared" si="119"/>
        <v>0.23353944915306848</v>
      </c>
      <c r="E290" s="171">
        <f t="shared" si="106"/>
        <v>40.87986177929019</v>
      </c>
      <c r="F290" s="171"/>
      <c r="G290" s="171">
        <f t="shared" si="114"/>
        <v>0.12213063105871842</v>
      </c>
      <c r="H290" s="171">
        <f t="shared" si="115"/>
        <v>0.12181247494243774</v>
      </c>
      <c r="I290" s="91">
        <f t="shared" si="124"/>
        <v>0.08802451964584972</v>
      </c>
      <c r="J290" s="91">
        <f t="shared" si="105"/>
        <v>29.745695056150083</v>
      </c>
      <c r="K290" s="172">
        <f t="shared" si="120"/>
        <v>0.030060918143439246</v>
      </c>
      <c r="L290" s="177">
        <f t="shared" si="107"/>
        <v>17.788523383310505</v>
      </c>
      <c r="M290" s="178">
        <f t="shared" si="108"/>
        <v>0.16993191600289853</v>
      </c>
      <c r="N290" s="403">
        <f t="shared" si="116"/>
        <v>0</v>
      </c>
      <c r="O290" s="177">
        <f t="shared" si="121"/>
        <v>0.0035130996036919606</v>
      </c>
      <c r="P290" s="174">
        <f t="shared" si="123"/>
        <v>0.0017788523383310505</v>
      </c>
      <c r="Q290" s="179">
        <f t="shared" si="109"/>
        <v>0.005712823845000865</v>
      </c>
      <c r="R290" s="179">
        <f t="shared" si="110"/>
        <v>0.01075504422666565</v>
      </c>
      <c r="S290" s="180">
        <f t="shared" si="111"/>
        <v>0.531176229925369</v>
      </c>
      <c r="T290" s="179">
        <f t="shared" si="112"/>
        <v>0.9892449557733343</v>
      </c>
      <c r="U290" s="181">
        <f t="shared" si="113"/>
        <v>0.5712823845000865</v>
      </c>
    </row>
    <row r="291" spans="1:21" ht="12.75">
      <c r="A291" s="91">
        <f t="shared" si="122"/>
        <v>2008.7999999999738</v>
      </c>
      <c r="B291" s="171">
        <f t="shared" si="117"/>
        <v>40.35616539310894</v>
      </c>
      <c r="C291" s="171">
        <f t="shared" si="118"/>
        <v>0.20442558820289236</v>
      </c>
      <c r="D291" s="172">
        <f t="shared" si="119"/>
        <v>0.2342861176411402</v>
      </c>
      <c r="E291" s="171">
        <f t="shared" si="106"/>
        <v>40.79487709895297</v>
      </c>
      <c r="F291" s="171"/>
      <c r="G291" s="171">
        <f t="shared" si="114"/>
        <v>0.12187673507697697</v>
      </c>
      <c r="H291" s="171">
        <f t="shared" si="115"/>
        <v>0.12155756175719096</v>
      </c>
      <c r="I291" s="91">
        <f t="shared" si="124"/>
        <v>0.08784888073021957</v>
      </c>
      <c r="J291" s="91">
        <f aca="true" t="shared" si="125" ref="J291:J354">force_of_infection</f>
        <v>29.745695056150083</v>
      </c>
      <c r="K291" s="172">
        <f t="shared" si="120"/>
        <v>0.03034230717025937</v>
      </c>
      <c r="L291" s="177">
        <f t="shared" si="107"/>
        <v>18.002359235435854</v>
      </c>
      <c r="M291" s="178">
        <f t="shared" si="108"/>
        <v>0.17083035682001171</v>
      </c>
      <c r="N291" s="403">
        <f t="shared" si="116"/>
        <v>0</v>
      </c>
      <c r="O291" s="177">
        <f t="shared" si="121"/>
        <v>0.0035027262452300653</v>
      </c>
      <c r="P291" s="174">
        <f t="shared" si="123"/>
        <v>0.0018002359235435854</v>
      </c>
      <c r="Q291" s="179">
        <f t="shared" si="109"/>
        <v>0.005743027906980833</v>
      </c>
      <c r="R291" s="179">
        <f t="shared" si="110"/>
        <v>0.010754088185628886</v>
      </c>
      <c r="S291" s="180">
        <f t="shared" si="111"/>
        <v>0.5340320636997815</v>
      </c>
      <c r="T291" s="179">
        <f t="shared" si="112"/>
        <v>0.989245911814371</v>
      </c>
      <c r="U291" s="181">
        <f t="shared" si="113"/>
        <v>0.5743027906980833</v>
      </c>
    </row>
    <row r="292" spans="1:21" ht="12.75">
      <c r="A292" s="91">
        <f t="shared" si="122"/>
        <v>2008.8999999999737</v>
      </c>
      <c r="B292" s="171">
        <f t="shared" si="117"/>
        <v>40.27229118825152</v>
      </c>
      <c r="C292" s="171">
        <f t="shared" si="118"/>
        <v>0.20276300479512555</v>
      </c>
      <c r="D292" s="172">
        <f t="shared" si="119"/>
        <v>0.234997761611251</v>
      </c>
      <c r="E292" s="171">
        <f t="shared" si="106"/>
        <v>40.7100519546579</v>
      </c>
      <c r="F292" s="171"/>
      <c r="G292" s="171">
        <f t="shared" si="114"/>
        <v>0.12162331571713823</v>
      </c>
      <c r="H292" s="171">
        <f t="shared" si="115"/>
        <v>0.12130317290854625</v>
      </c>
      <c r="I292" s="91">
        <f t="shared" si="124"/>
        <v>0.08767419666644052</v>
      </c>
      <c r="J292" s="91">
        <f t="shared" si="125"/>
        <v>29.745695056150083</v>
      </c>
      <c r="K292" s="172">
        <f t="shared" si="120"/>
        <v>0.030624856762463765</v>
      </c>
      <c r="L292" s="177">
        <f t="shared" si="107"/>
        <v>18.211553107823384</v>
      </c>
      <c r="M292" s="178">
        <f t="shared" si="108"/>
        <v>0.17170628432387283</v>
      </c>
      <c r="N292" s="403">
        <f t="shared" si="116"/>
        <v>0</v>
      </c>
      <c r="O292" s="177">
        <f t="shared" si="121"/>
        <v>0.0034922096175840876</v>
      </c>
      <c r="P292" s="174">
        <f aca="true" t="shared" si="126" ref="P292:P355">O281*$Y$6+O270*$Y$7+O259*$Y$8+O248*$Y$9+O237*$Y$10+O226*$Y$11+O215*$Y$12+O204*$Y$13+O193*$Y$14+O182*$Y$15+O171*$Y$16+O160*$Y$17+O149*$Y$18+O138*$Y$19+O127*$N$20</f>
        <v>0.0018211553107823383</v>
      </c>
      <c r="Q292" s="179">
        <f t="shared" si="109"/>
        <v>0.005772475109414922</v>
      </c>
      <c r="R292" s="179">
        <f t="shared" si="110"/>
        <v>0.01075313701131962</v>
      </c>
      <c r="S292" s="180">
        <f t="shared" si="111"/>
        <v>0.5368177772996241</v>
      </c>
      <c r="T292" s="179">
        <f t="shared" si="112"/>
        <v>0.9892468629886804</v>
      </c>
      <c r="U292" s="181">
        <f t="shared" si="113"/>
        <v>0.5772475109414922</v>
      </c>
    </row>
    <row r="293" spans="1:22" ht="12.75">
      <c r="A293" s="91">
        <f t="shared" si="122"/>
        <v>2008.9999999999736</v>
      </c>
      <c r="B293" s="171">
        <f t="shared" si="117"/>
        <v>40.18857470929967</v>
      </c>
      <c r="C293" s="171">
        <f t="shared" si="118"/>
        <v>0.2011375175780271</v>
      </c>
      <c r="D293" s="172">
        <f t="shared" si="119"/>
        <v>0.23567486704064355</v>
      </c>
      <c r="E293" s="171">
        <f t="shared" si="106"/>
        <v>40.62538709391834</v>
      </c>
      <c r="F293" s="171"/>
      <c r="G293" s="171">
        <f t="shared" si="114"/>
        <v>0.12137037521243575</v>
      </c>
      <c r="H293" s="171">
        <f t="shared" si="115"/>
        <v>0.12104930996767932</v>
      </c>
      <c r="I293" s="91">
        <f t="shared" si="124"/>
        <v>0.08750046346903512</v>
      </c>
      <c r="J293" s="91">
        <f t="shared" si="125"/>
        <v>29.745695056150083</v>
      </c>
      <c r="K293" s="172">
        <f t="shared" si="120"/>
        <v>0.03090849583066511</v>
      </c>
      <c r="L293" s="177">
        <f t="shared" si="107"/>
        <v>18.425306489556597</v>
      </c>
      <c r="M293" s="178">
        <f t="shared" si="108"/>
        <v>0.17255989982773973</v>
      </c>
      <c r="N293" s="403">
        <f t="shared" si="116"/>
        <v>0</v>
      </c>
      <c r="O293" s="177">
        <f t="shared" si="121"/>
        <v>0.0034815682151714622</v>
      </c>
      <c r="P293" s="174">
        <f t="shared" si="126"/>
        <v>0.0018425306489556596</v>
      </c>
      <c r="Q293" s="179">
        <f t="shared" si="109"/>
        <v>0.005801172220114656</v>
      </c>
      <c r="R293" s="179">
        <f t="shared" si="110"/>
        <v>0.010752202400160315</v>
      </c>
      <c r="S293" s="180">
        <f t="shared" si="111"/>
        <v>0.5395333908547109</v>
      </c>
      <c r="T293" s="179">
        <f t="shared" si="112"/>
        <v>0.9892477975998397</v>
      </c>
      <c r="U293" s="181">
        <f t="shared" si="113"/>
        <v>0.5801172220114656</v>
      </c>
      <c r="V293">
        <f>IF(ISNUMBER('Set-up'!$N$36)=FALSE,"",('Set-up'!$N$36-'EPP model'!U293)^2)</f>
      </c>
    </row>
    <row r="294" spans="1:21" ht="12.75">
      <c r="A294" s="91">
        <f t="shared" si="122"/>
        <v>2009.0999999999735</v>
      </c>
      <c r="B294" s="171">
        <f t="shared" si="117"/>
        <v>40.105016527260965</v>
      </c>
      <c r="C294" s="171">
        <f t="shared" si="118"/>
        <v>0.1995487870628803</v>
      </c>
      <c r="D294" s="172">
        <f t="shared" si="119"/>
        <v>0.23631702267465884</v>
      </c>
      <c r="E294" s="171">
        <f t="shared" si="106"/>
        <v>40.54088233699851</v>
      </c>
      <c r="F294" s="171"/>
      <c r="G294" s="171">
        <f t="shared" si="114"/>
        <v>0.1211179130258999</v>
      </c>
      <c r="H294" s="171">
        <f t="shared" si="115"/>
        <v>0.1207959729578821</v>
      </c>
      <c r="I294" s="91">
        <f t="shared" si="124"/>
        <v>0.0873276771655737</v>
      </c>
      <c r="J294" s="91">
        <f t="shared" si="125"/>
        <v>29.745695056150083</v>
      </c>
      <c r="K294" s="172">
        <f t="shared" si="120"/>
        <v>0.031189672094362384</v>
      </c>
      <c r="L294" s="177">
        <f t="shared" si="107"/>
        <v>18.63932751988648</v>
      </c>
      <c r="M294" s="178">
        <f t="shared" si="108"/>
        <v>0.1733907524415794</v>
      </c>
      <c r="N294" s="403">
        <f t="shared" si="116"/>
        <v>0</v>
      </c>
      <c r="O294" s="177">
        <f t="shared" si="121"/>
        <v>0.003470826988486459</v>
      </c>
      <c r="P294" s="174">
        <f t="shared" si="126"/>
        <v>0.0018639327519886478</v>
      </c>
      <c r="Q294" s="179">
        <f t="shared" si="109"/>
        <v>0.005829104080919095</v>
      </c>
      <c r="R294" s="179">
        <f t="shared" si="110"/>
        <v>0.010751265996491604</v>
      </c>
      <c r="S294" s="180">
        <f t="shared" si="111"/>
        <v>0.5421783893005039</v>
      </c>
      <c r="T294" s="179">
        <f t="shared" si="112"/>
        <v>0.9892487340035083</v>
      </c>
      <c r="U294" s="181">
        <f t="shared" si="113"/>
        <v>0.5829104080919095</v>
      </c>
    </row>
    <row r="295" spans="1:21" ht="12.75">
      <c r="A295" s="91">
        <f t="shared" si="122"/>
        <v>2009.1999999999734</v>
      </c>
      <c r="B295" s="171">
        <f t="shared" si="117"/>
        <v>40.02161672687943</v>
      </c>
      <c r="C295" s="171">
        <f t="shared" si="118"/>
        <v>0.19799694960022593</v>
      </c>
      <c r="D295" s="172">
        <f t="shared" si="119"/>
        <v>0.2369242536617713</v>
      </c>
      <c r="E295" s="171">
        <f t="shared" si="106"/>
        <v>40.45653793014142</v>
      </c>
      <c r="F295" s="171"/>
      <c r="G295" s="171">
        <f t="shared" si="114"/>
        <v>0.12086592989319403</v>
      </c>
      <c r="H295" s="171">
        <f t="shared" si="115"/>
        <v>0.12054316258055763</v>
      </c>
      <c r="I295" s="91">
        <f t="shared" si="124"/>
        <v>0.08715583379674505</v>
      </c>
      <c r="J295" s="91">
        <f t="shared" si="125"/>
        <v>29.745695056150083</v>
      </c>
      <c r="K295" s="172">
        <f t="shared" si="120"/>
        <v>0.03147386957205056</v>
      </c>
      <c r="L295" s="177">
        <f t="shared" si="107"/>
        <v>18.853230301634103</v>
      </c>
      <c r="M295" s="178">
        <f t="shared" si="108"/>
        <v>0.17419870709150329</v>
      </c>
      <c r="N295" s="403">
        <f t="shared" si="116"/>
        <v>0</v>
      </c>
      <c r="O295" s="177">
        <f t="shared" si="121"/>
        <v>0.003459991433763732</v>
      </c>
      <c r="P295" s="174">
        <f t="shared" si="126"/>
        <v>0.0018853230301634103</v>
      </c>
      <c r="Q295" s="179">
        <f t="shared" si="109"/>
        <v>0.005856266150872369</v>
      </c>
      <c r="R295" s="179">
        <f t="shared" si="110"/>
        <v>0.010750331726679137</v>
      </c>
      <c r="S295" s="180">
        <f t="shared" si="111"/>
        <v>0.5447521341447401</v>
      </c>
      <c r="T295" s="179">
        <f t="shared" si="112"/>
        <v>0.989249668273321</v>
      </c>
      <c r="U295" s="181">
        <f t="shared" si="113"/>
        <v>0.5856266150872369</v>
      </c>
    </row>
    <row r="296" spans="1:21" ht="12.75">
      <c r="A296" s="91">
        <f t="shared" si="122"/>
        <v>2009.2999999999734</v>
      </c>
      <c r="B296" s="171">
        <f t="shared" si="117"/>
        <v>39.93837549148625</v>
      </c>
      <c r="C296" s="171">
        <f t="shared" si="118"/>
        <v>0.19648201837034107</v>
      </c>
      <c r="D296" s="172">
        <f t="shared" si="119"/>
        <v>0.23749664334678272</v>
      </c>
      <c r="E296" s="171">
        <f t="shared" si="106"/>
        <v>40.37235415320337</v>
      </c>
      <c r="F296" s="171"/>
      <c r="G296" s="171">
        <f t="shared" si="114"/>
        <v>0.12061442665040274</v>
      </c>
      <c r="H296" s="171">
        <f t="shared" si="115"/>
        <v>0.12029087955824794</v>
      </c>
      <c r="I296" s="91">
        <f t="shared" si="124"/>
        <v>0.0869849294164128</v>
      </c>
      <c r="J296" s="91">
        <f t="shared" si="125"/>
        <v>29.745695056150083</v>
      </c>
      <c r="K296" s="172">
        <f t="shared" si="120"/>
        <v>0.03175991554370946</v>
      </c>
      <c r="L296" s="177">
        <f t="shared" si="107"/>
        <v>19.066959160955218</v>
      </c>
      <c r="M296" s="178">
        <f t="shared" si="108"/>
        <v>0.17498367083189023</v>
      </c>
      <c r="N296" s="403">
        <f t="shared" si="116"/>
        <v>0</v>
      </c>
      <c r="O296" s="177">
        <f t="shared" si="121"/>
        <v>0.0034490812628420898</v>
      </c>
      <c r="P296" s="174">
        <f t="shared" si="126"/>
        <v>0.0019066959160955218</v>
      </c>
      <c r="Q296" s="179">
        <f t="shared" si="109"/>
        <v>0.005882655305299763</v>
      </c>
      <c r="R296" s="179">
        <f t="shared" si="110"/>
        <v>0.010749401931586135</v>
      </c>
      <c r="S296" s="180">
        <f t="shared" si="111"/>
        <v>0.5472541954184557</v>
      </c>
      <c r="T296" s="179">
        <f t="shared" si="112"/>
        <v>0.989250598068414</v>
      </c>
      <c r="U296" s="181">
        <f t="shared" si="113"/>
        <v>0.5882655305299763</v>
      </c>
    </row>
    <row r="297" spans="1:21" ht="12.75">
      <c r="A297" s="91">
        <f t="shared" si="122"/>
        <v>2009.3999999999733</v>
      </c>
      <c r="B297" s="171">
        <f t="shared" si="117"/>
        <v>39.85529306274068</v>
      </c>
      <c r="C297" s="171">
        <f t="shared" si="118"/>
        <v>0.19500392546327708</v>
      </c>
      <c r="D297" s="172">
        <f t="shared" si="119"/>
        <v>0.23803429830010592</v>
      </c>
      <c r="E297" s="171">
        <f t="shared" si="106"/>
        <v>40.28833128650406</v>
      </c>
      <c r="F297" s="171"/>
      <c r="G297" s="171">
        <f t="shared" si="114"/>
        <v>0.12036340413499523</v>
      </c>
      <c r="H297" s="171">
        <f t="shared" si="115"/>
        <v>0.12003912458323898</v>
      </c>
      <c r="I297" s="91">
        <f t="shared" si="124"/>
        <v>0.086814960091662</v>
      </c>
      <c r="J297" s="91">
        <f t="shared" si="125"/>
        <v>29.745695056150083</v>
      </c>
      <c r="K297" s="172">
        <f t="shared" si="120"/>
        <v>0.03204708709131091</v>
      </c>
      <c r="L297" s="177">
        <f t="shared" si="107"/>
        <v>19.280457049259002</v>
      </c>
      <c r="M297" s="178">
        <f t="shared" si="108"/>
        <v>0.1757455676133071</v>
      </c>
      <c r="N297" s="403">
        <f t="shared" si="116"/>
        <v>0</v>
      </c>
      <c r="O297" s="177">
        <f t="shared" si="121"/>
        <v>0.003438114482690118</v>
      </c>
      <c r="P297" s="174">
        <f t="shared" si="126"/>
        <v>0.0019280457049259002</v>
      </c>
      <c r="Q297" s="179">
        <f t="shared" si="109"/>
        <v>0.005908268987547855</v>
      </c>
      <c r="R297" s="179">
        <f t="shared" si="110"/>
        <v>0.010748477535192523</v>
      </c>
      <c r="S297" s="180">
        <f t="shared" si="111"/>
        <v>0.5496842662789292</v>
      </c>
      <c r="T297" s="179">
        <f t="shared" si="112"/>
        <v>0.9892515224648075</v>
      </c>
      <c r="U297" s="181">
        <f t="shared" si="113"/>
        <v>0.5908268987547854</v>
      </c>
    </row>
    <row r="298" spans="1:21" ht="12.75">
      <c r="A298" s="91">
        <f t="shared" si="122"/>
        <v>2009.4999999999732</v>
      </c>
      <c r="B298" s="171">
        <f t="shared" si="117"/>
        <v>39.7723696473928</v>
      </c>
      <c r="C298" s="171">
        <f t="shared" si="118"/>
        <v>0.19356255858863078</v>
      </c>
      <c r="D298" s="172">
        <f t="shared" si="119"/>
        <v>0.23853734681451622</v>
      </c>
      <c r="E298" s="171">
        <f t="shared" si="106"/>
        <v>40.20446955279595</v>
      </c>
      <c r="F298" s="171"/>
      <c r="G298" s="171">
        <f t="shared" si="114"/>
        <v>0.12011286301245555</v>
      </c>
      <c r="H298" s="171">
        <f t="shared" si="115"/>
        <v>0.11978789814623864</v>
      </c>
      <c r="I298" s="91">
        <f t="shared" si="124"/>
        <v>0.08664586372332322</v>
      </c>
      <c r="J298" s="91">
        <f t="shared" si="125"/>
        <v>29.745695056150083</v>
      </c>
      <c r="K298" s="172">
        <f t="shared" si="120"/>
        <v>0.03233507924003722</v>
      </c>
      <c r="L298" s="177">
        <f t="shared" si="107"/>
        <v>19.493663038460436</v>
      </c>
      <c r="M298" s="178">
        <f t="shared" si="108"/>
        <v>0.17648433760654533</v>
      </c>
      <c r="N298" s="403">
        <f t="shared" si="116"/>
        <v>0</v>
      </c>
      <c r="O298" s="177">
        <f t="shared" si="121"/>
        <v>0.003427107556736666</v>
      </c>
      <c r="P298" s="174">
        <f t="shared" si="126"/>
        <v>0.0019493663038460435</v>
      </c>
      <c r="Q298" s="179">
        <f t="shared" si="109"/>
        <v>0.005933105186259759</v>
      </c>
      <c r="R298" s="179">
        <f t="shared" si="110"/>
        <v>0.010747558920923442</v>
      </c>
      <c r="S298" s="180">
        <f t="shared" si="111"/>
        <v>0.5520421176486074</v>
      </c>
      <c r="T298" s="179">
        <f t="shared" si="112"/>
        <v>0.9892524410790765</v>
      </c>
      <c r="U298" s="181">
        <f t="shared" si="113"/>
        <v>0.5933105186259758</v>
      </c>
    </row>
    <row r="299" spans="1:21" ht="12.75">
      <c r="A299" s="91">
        <f t="shared" si="122"/>
        <v>2009.599999999973</v>
      </c>
      <c r="B299" s="171">
        <f t="shared" si="117"/>
        <v>39.689605572147826</v>
      </c>
      <c r="C299" s="171">
        <f t="shared" si="118"/>
        <v>0.19215778191112057</v>
      </c>
      <c r="D299" s="172">
        <f t="shared" si="119"/>
        <v>0.2390059382475911</v>
      </c>
      <c r="E299" s="171">
        <f t="shared" si="106"/>
        <v>40.12076929230654</v>
      </c>
      <c r="F299" s="171"/>
      <c r="G299" s="171">
        <f t="shared" si="114"/>
        <v>0.11986280429923042</v>
      </c>
      <c r="H299" s="171">
        <f t="shared" si="115"/>
        <v>0.11953720106022032</v>
      </c>
      <c r="I299" s="91">
        <f t="shared" si="124"/>
        <v>0.0864777526256994</v>
      </c>
      <c r="J299" s="91">
        <f t="shared" si="125"/>
        <v>29.745695056150083</v>
      </c>
      <c r="K299" s="172">
        <f t="shared" si="120"/>
        <v>0.032623747351680554</v>
      </c>
      <c r="L299" s="177">
        <f t="shared" si="107"/>
        <v>19.70651547005538</v>
      </c>
      <c r="M299" s="178">
        <f t="shared" si="108"/>
        <v>0.17719993612099463</v>
      </c>
      <c r="N299" s="403">
        <f t="shared" si="116"/>
        <v>0</v>
      </c>
      <c r="O299" s="177">
        <f t="shared" si="121"/>
        <v>0.0034160759937942628</v>
      </c>
      <c r="P299" s="174">
        <f t="shared" si="126"/>
        <v>0.001970651547005538</v>
      </c>
      <c r="Q299" s="179">
        <f t="shared" si="109"/>
        <v>0.00595716239901268</v>
      </c>
      <c r="R299" s="179">
        <f t="shared" si="110"/>
        <v>0.010746646382012184</v>
      </c>
      <c r="S299" s="180">
        <f t="shared" si="111"/>
        <v>0.5543275722725763</v>
      </c>
      <c r="T299" s="179">
        <f t="shared" si="112"/>
        <v>0.9892533536179877</v>
      </c>
      <c r="U299" s="181">
        <f t="shared" si="113"/>
        <v>0.595716239901268</v>
      </c>
    </row>
    <row r="300" spans="1:21" ht="12.75">
      <c r="A300" s="91">
        <f t="shared" si="122"/>
        <v>2009.699999999973</v>
      </c>
      <c r="B300" s="171">
        <f t="shared" si="117"/>
        <v>39.60700111313698</v>
      </c>
      <c r="C300" s="171">
        <f t="shared" si="118"/>
        <v>0.19078943340032609</v>
      </c>
      <c r="D300" s="172">
        <f t="shared" si="119"/>
        <v>0.23944024237191475</v>
      </c>
      <c r="E300" s="171">
        <f t="shared" si="106"/>
        <v>40.03723078890922</v>
      </c>
      <c r="F300" s="171"/>
      <c r="G300" s="171">
        <f t="shared" si="114"/>
        <v>0.11961322884340575</v>
      </c>
      <c r="H300" s="171">
        <f t="shared" si="115"/>
        <v>0.11928703394198498</v>
      </c>
      <c r="I300" s="91">
        <f t="shared" si="124"/>
        <v>0.08631056570245348</v>
      </c>
      <c r="J300" s="91">
        <f t="shared" si="125"/>
        <v>29.745695056150083</v>
      </c>
      <c r="K300" s="172">
        <f t="shared" si="120"/>
        <v>0.03291297103693159</v>
      </c>
      <c r="L300" s="177">
        <f t="shared" si="107"/>
        <v>19.91895133547941</v>
      </c>
      <c r="M300" s="178">
        <f t="shared" si="108"/>
        <v>0.17789233404570545</v>
      </c>
      <c r="N300" s="403">
        <f t="shared" si="116"/>
        <v>0</v>
      </c>
      <c r="O300" s="177">
        <f t="shared" si="121"/>
        <v>0.0034050346679802587</v>
      </c>
      <c r="P300" s="174">
        <f t="shared" si="126"/>
        <v>0.001991895133547941</v>
      </c>
      <c r="Q300" s="179">
        <f t="shared" si="109"/>
        <v>0.005980439647145688</v>
      </c>
      <c r="R300" s="179">
        <f t="shared" si="110"/>
        <v>0.01074574008478677</v>
      </c>
      <c r="S300" s="180">
        <f t="shared" si="111"/>
        <v>0.5565405081416838</v>
      </c>
      <c r="T300" s="179">
        <f t="shared" si="112"/>
        <v>0.9892542599152133</v>
      </c>
      <c r="U300" s="181">
        <f t="shared" si="113"/>
        <v>0.5980439647145688</v>
      </c>
    </row>
    <row r="301" spans="1:21" ht="12.75">
      <c r="A301" s="91">
        <f t="shared" si="122"/>
        <v>2009.799999999973</v>
      </c>
      <c r="B301" s="171">
        <f t="shared" si="117"/>
        <v>39.524556547451375</v>
      </c>
      <c r="C301" s="171">
        <f t="shared" si="118"/>
        <v>0.1894573307265054</v>
      </c>
      <c r="D301" s="172">
        <f t="shared" si="119"/>
        <v>0.2398404487331334</v>
      </c>
      <c r="E301" s="171">
        <f t="shared" si="106"/>
        <v>39.953854326911014</v>
      </c>
      <c r="F301" s="171"/>
      <c r="G301" s="171">
        <f t="shared" si="114"/>
        <v>0.11936413749436302</v>
      </c>
      <c r="H301" s="171">
        <f t="shared" si="115"/>
        <v>0.11903739738269165</v>
      </c>
      <c r="I301" s="91">
        <f t="shared" si="124"/>
        <v>0.08614429827416982</v>
      </c>
      <c r="J301" s="91">
        <f t="shared" si="125"/>
        <v>29.745695056150083</v>
      </c>
      <c r="K301" s="172">
        <f t="shared" si="120"/>
        <v>0.03320266714952929</v>
      </c>
      <c r="L301" s="177">
        <f t="shared" si="107"/>
        <v>20.13090650798699</v>
      </c>
      <c r="M301" s="178">
        <f t="shared" si="108"/>
        <v>0.17856151728872657</v>
      </c>
      <c r="N301" s="403">
        <f t="shared" si="116"/>
        <v>0</v>
      </c>
      <c r="O301" s="177">
        <f t="shared" si="121"/>
        <v>0.0033939977618841683</v>
      </c>
      <c r="P301" s="174">
        <f t="shared" si="126"/>
        <v>0.0020130906507986987</v>
      </c>
      <c r="Q301" s="179">
        <f t="shared" si="109"/>
        <v>0.006002936456911199</v>
      </c>
      <c r="R301" s="179">
        <f t="shared" si="110"/>
        <v>0.010744840183553562</v>
      </c>
      <c r="S301" s="180">
        <f t="shared" si="111"/>
        <v>0.5586808509352713</v>
      </c>
      <c r="T301" s="179">
        <f t="shared" si="112"/>
        <v>0.9892551598164464</v>
      </c>
      <c r="U301" s="181">
        <f t="shared" si="113"/>
        <v>0.60029364569112</v>
      </c>
    </row>
    <row r="302" spans="1:21" ht="12.75">
      <c r="A302" s="91">
        <f t="shared" si="122"/>
        <v>2009.8999999999728</v>
      </c>
      <c r="B302" s="171">
        <f t="shared" si="117"/>
        <v>39.4422721537217</v>
      </c>
      <c r="C302" s="171">
        <f t="shared" si="118"/>
        <v>0.18816127219200948</v>
      </c>
      <c r="D302" s="172">
        <f t="shared" si="119"/>
        <v>0.24020676606454058</v>
      </c>
      <c r="E302" s="171">
        <f t="shared" si="106"/>
        <v>39.870640191978254</v>
      </c>
      <c r="F302" s="171"/>
      <c r="G302" s="171">
        <f t="shared" si="114"/>
        <v>0.11911553110554465</v>
      </c>
      <c r="H302" s="171">
        <f t="shared" si="115"/>
        <v>0.11878829195142065</v>
      </c>
      <c r="I302" s="91">
        <f t="shared" si="124"/>
        <v>0.08597894647712392</v>
      </c>
      <c r="J302" s="91">
        <f t="shared" si="125"/>
        <v>29.745695056150083</v>
      </c>
      <c r="K302" s="172">
        <f t="shared" si="120"/>
        <v>0.03349275431131901</v>
      </c>
      <c r="L302" s="177">
        <f t="shared" si="107"/>
        <v>20.342316024955878</v>
      </c>
      <c r="M302" s="178">
        <f t="shared" si="108"/>
        <v>0.17920748649572377</v>
      </c>
      <c r="N302" s="403">
        <f t="shared" si="116"/>
        <v>0</v>
      </c>
      <c r="O302" s="177">
        <f t="shared" si="121"/>
        <v>0.0033829788435996884</v>
      </c>
      <c r="P302" s="174">
        <f t="shared" si="126"/>
        <v>0.0020342316024955878</v>
      </c>
      <c r="Q302" s="179">
        <f t="shared" si="109"/>
        <v>0.006024652850015406</v>
      </c>
      <c r="R302" s="179">
        <f t="shared" si="110"/>
        <v>0.010743946828893288</v>
      </c>
      <c r="S302" s="180">
        <f t="shared" si="111"/>
        <v>0.5607485727510803</v>
      </c>
      <c r="T302" s="179">
        <f t="shared" si="112"/>
        <v>0.9892560531711067</v>
      </c>
      <c r="U302" s="181">
        <f t="shared" si="113"/>
        <v>0.6024652850015406</v>
      </c>
    </row>
    <row r="303" spans="1:23" ht="12.75">
      <c r="A303" s="91">
        <f t="shared" si="122"/>
        <v>2009.9999999999727</v>
      </c>
      <c r="B303" s="171">
        <f t="shared" si="117"/>
        <v>39.36014821214089</v>
      </c>
      <c r="C303" s="171">
        <f t="shared" si="118"/>
        <v>0.18690103741466785</v>
      </c>
      <c r="D303" s="172">
        <f t="shared" si="119"/>
        <v>0.2405394216736936</v>
      </c>
      <c r="E303" s="171">
        <f t="shared" si="106"/>
        <v>39.78758867122926</v>
      </c>
      <c r="F303" s="171"/>
      <c r="G303" s="171">
        <f t="shared" si="114"/>
        <v>0.11886741053473099</v>
      </c>
      <c r="H303" s="171">
        <f t="shared" si="115"/>
        <v>0.11853971819628611</v>
      </c>
      <c r="I303" s="91">
        <f t="shared" si="124"/>
        <v>0.08581450646236574</v>
      </c>
      <c r="J303" s="91">
        <f t="shared" si="125"/>
        <v>29.745695056150083</v>
      </c>
      <c r="K303" s="172">
        <f t="shared" si="120"/>
        <v>0.03378315036944089</v>
      </c>
      <c r="L303" s="177">
        <f t="shared" si="107"/>
        <v>20.550663667171236</v>
      </c>
      <c r="M303" s="178">
        <f t="shared" si="108"/>
        <v>0.17983025674692968</v>
      </c>
      <c r="N303" s="403">
        <f t="shared" si="116"/>
        <v>0</v>
      </c>
      <c r="O303" s="177">
        <f t="shared" si="121"/>
        <v>0.0033719908645367747</v>
      </c>
      <c r="P303" s="174">
        <f t="shared" si="126"/>
        <v>0.0020550663667171236</v>
      </c>
      <c r="Q303" s="179">
        <f t="shared" si="109"/>
        <v>0.006045589333430244</v>
      </c>
      <c r="R303" s="179">
        <f t="shared" si="110"/>
        <v>0.010743060169349929</v>
      </c>
      <c r="S303" s="180">
        <f t="shared" si="111"/>
        <v>0.562743691101943</v>
      </c>
      <c r="T303" s="179">
        <f t="shared" si="112"/>
        <v>0.98925693983065</v>
      </c>
      <c r="U303" s="181">
        <f t="shared" si="113"/>
        <v>0.6045589333430244</v>
      </c>
      <c r="V303">
        <f>IF(ISNUMBER('Set-up'!$N$37)=FALSE,"",('Set-up'!$N$37-'EPP model'!U303)^2)</f>
        <v>0.011729137971794083</v>
      </c>
      <c r="W303">
        <f>IF(ISNUMBER('Set-up'!$N$37)=FALSE,NA()=FALSE,'Set-up'!$N$37)</f>
        <v>0.4962577885116142</v>
      </c>
    </row>
    <row r="304" spans="1:21" ht="12.75">
      <c r="A304" s="91">
        <f t="shared" si="122"/>
        <v>2010.0999999999726</v>
      </c>
      <c r="B304" s="171">
        <f t="shared" si="117"/>
        <v>39.27818423364931</v>
      </c>
      <c r="C304" s="171">
        <f t="shared" si="118"/>
        <v>0.18567636077679692</v>
      </c>
      <c r="D304" s="172">
        <f t="shared" si="119"/>
        <v>0.24083890586870138</v>
      </c>
      <c r="E304" s="171">
        <f t="shared" si="106"/>
        <v>39.70469950029481</v>
      </c>
      <c r="F304" s="171"/>
      <c r="G304" s="171">
        <f t="shared" si="114"/>
        <v>0.11861977499210577</v>
      </c>
      <c r="H304" s="171">
        <f t="shared" si="115"/>
        <v>0.11829167465951379</v>
      </c>
      <c r="I304" s="91">
        <f t="shared" si="124"/>
        <v>0.08565017632185007</v>
      </c>
      <c r="J304" s="91">
        <f t="shared" si="125"/>
        <v>29.745695056150083</v>
      </c>
      <c r="K304" s="172">
        <f t="shared" si="120"/>
        <v>0.034073771894350714</v>
      </c>
      <c r="L304" s="177">
        <f t="shared" si="107"/>
        <v>20.760689193938205</v>
      </c>
      <c r="M304" s="178">
        <f t="shared" si="108"/>
        <v>0.18043004333968157</v>
      </c>
      <c r="N304" s="403">
        <f t="shared" si="116"/>
        <v>0</v>
      </c>
      <c r="O304" s="177">
        <f t="shared" si="121"/>
        <v>0.003361046154454723</v>
      </c>
      <c r="P304" s="174">
        <f t="shared" si="126"/>
        <v>0.0020760689193938205</v>
      </c>
      <c r="Q304" s="179">
        <f t="shared" si="109"/>
        <v>0.006065753145088358</v>
      </c>
      <c r="R304" s="179">
        <f t="shared" si="110"/>
        <v>0.010742185988394937</v>
      </c>
      <c r="S304" s="180">
        <f t="shared" si="111"/>
        <v>0.5646665540553244</v>
      </c>
      <c r="T304" s="179">
        <f t="shared" si="112"/>
        <v>0.9892578140116052</v>
      </c>
      <c r="U304" s="181">
        <f t="shared" si="113"/>
        <v>0.6065753145088358</v>
      </c>
    </row>
    <row r="305" spans="1:21" ht="12.75">
      <c r="A305" s="91">
        <f t="shared" si="122"/>
        <v>2010.1999999999725</v>
      </c>
      <c r="B305" s="171">
        <f t="shared" si="117"/>
        <v>39.19637990112366</v>
      </c>
      <c r="C305" s="171">
        <f t="shared" si="118"/>
        <v>0.18448679604550441</v>
      </c>
      <c r="D305" s="172">
        <f t="shared" si="119"/>
        <v>0.2411052475989906</v>
      </c>
      <c r="E305" s="171">
        <f t="shared" si="106"/>
        <v>39.621971944768156</v>
      </c>
      <c r="F305" s="171"/>
      <c r="G305" s="171">
        <f t="shared" si="114"/>
        <v>0.11837262228359212</v>
      </c>
      <c r="H305" s="171">
        <f t="shared" si="115"/>
        <v>0.11804415910758836</v>
      </c>
      <c r="I305" s="91">
        <f t="shared" si="124"/>
        <v>0.08548595888772885</v>
      </c>
      <c r="J305" s="91">
        <f t="shared" si="125"/>
        <v>29.745695056150083</v>
      </c>
      <c r="K305" s="172">
        <f t="shared" si="120"/>
        <v>0.03436266371407766</v>
      </c>
      <c r="L305" s="177">
        <f t="shared" si="107"/>
        <v>20.970283885112682</v>
      </c>
      <c r="M305" s="178">
        <f t="shared" si="108"/>
        <v>0.1810067197441478</v>
      </c>
      <c r="N305" s="403">
        <f t="shared" si="116"/>
        <v>0</v>
      </c>
      <c r="O305" s="177">
        <f t="shared" si="121"/>
        <v>0.003350159382211182</v>
      </c>
      <c r="P305" s="174">
        <f t="shared" si="126"/>
        <v>0.002097028388511268</v>
      </c>
      <c r="Q305" s="179">
        <f t="shared" si="109"/>
        <v>0.006085140031270632</v>
      </c>
      <c r="R305" s="179">
        <f t="shared" si="110"/>
        <v>0.010741314042566018</v>
      </c>
      <c r="S305" s="180">
        <f t="shared" si="111"/>
        <v>0.5665172815128807</v>
      </c>
      <c r="T305" s="179">
        <f t="shared" si="112"/>
        <v>0.989258685957434</v>
      </c>
      <c r="U305" s="181">
        <f t="shared" si="113"/>
        <v>0.6085140031270632</v>
      </c>
    </row>
    <row r="306" spans="1:21" ht="12.75">
      <c r="A306" s="91">
        <f t="shared" si="122"/>
        <v>2010.2999999999724</v>
      </c>
      <c r="B306" s="171">
        <f t="shared" si="117"/>
        <v>39.11473461434397</v>
      </c>
      <c r="C306" s="171">
        <f t="shared" si="118"/>
        <v>0.18333218070934942</v>
      </c>
      <c r="D306" s="172">
        <f t="shared" si="119"/>
        <v>0.2413386909958927</v>
      </c>
      <c r="E306" s="171">
        <f t="shared" si="106"/>
        <v>39.53940548604922</v>
      </c>
      <c r="F306" s="171"/>
      <c r="G306" s="171">
        <f t="shared" si="114"/>
        <v>0.11812595085984637</v>
      </c>
      <c r="H306" s="171">
        <f t="shared" si="115"/>
        <v>0.1177971696585805</v>
      </c>
      <c r="I306" s="91">
        <f t="shared" si="124"/>
        <v>0.08532185602167687</v>
      </c>
      <c r="J306" s="91">
        <f t="shared" si="125"/>
        <v>29.745695056150083</v>
      </c>
      <c r="K306" s="172">
        <f t="shared" si="120"/>
        <v>0.03465316929739767</v>
      </c>
      <c r="L306" s="177">
        <f t="shared" si="107"/>
        <v>21.179048051024655</v>
      </c>
      <c r="M306" s="178">
        <f t="shared" si="108"/>
        <v>0.18156031987246662</v>
      </c>
      <c r="N306" s="403">
        <f t="shared" si="116"/>
        <v>0</v>
      </c>
      <c r="O306" s="177">
        <f t="shared" si="121"/>
        <v>0.003339334978830438</v>
      </c>
      <c r="P306" s="174">
        <f t="shared" si="126"/>
        <v>0.0021179048051024655</v>
      </c>
      <c r="Q306" s="179">
        <f t="shared" si="109"/>
        <v>0.0061037511320458475</v>
      </c>
      <c r="R306" s="179">
        <f t="shared" si="110"/>
        <v>0.01074044656172384</v>
      </c>
      <c r="S306" s="180">
        <f t="shared" si="111"/>
        <v>0.5682958429119725</v>
      </c>
      <c r="T306" s="179">
        <f t="shared" si="112"/>
        <v>0.9892595534382761</v>
      </c>
      <c r="U306" s="181">
        <f t="shared" si="113"/>
        <v>0.6103751132045847</v>
      </c>
    </row>
    <row r="307" spans="1:21" ht="12.75">
      <c r="A307" s="91">
        <f t="shared" si="122"/>
        <v>2010.3999999999724</v>
      </c>
      <c r="B307" s="171">
        <f t="shared" si="117"/>
        <v>39.03324784214998</v>
      </c>
      <c r="C307" s="171">
        <f t="shared" si="118"/>
        <v>0.18221227623604927</v>
      </c>
      <c r="D307" s="172">
        <f t="shared" si="119"/>
        <v>0.241539531131119</v>
      </c>
      <c r="E307" s="171">
        <f t="shared" si="106"/>
        <v>39.45699964951715</v>
      </c>
      <c r="F307" s="171"/>
      <c r="G307" s="171">
        <f t="shared" si="114"/>
        <v>0.11787975930291497</v>
      </c>
      <c r="H307" s="171">
        <f t="shared" si="115"/>
        <v>0.11755070449255374</v>
      </c>
      <c r="I307" s="91">
        <f t="shared" si="124"/>
        <v>0.08515786956398542</v>
      </c>
      <c r="J307" s="91">
        <f t="shared" si="125"/>
        <v>29.745695056150083</v>
      </c>
      <c r="K307" s="172">
        <f t="shared" si="120"/>
        <v>0.03494453618781163</v>
      </c>
      <c r="L307" s="177">
        <f t="shared" si="107"/>
        <v>21.38692243929319</v>
      </c>
      <c r="M307" s="178">
        <f t="shared" si="108"/>
        <v>0.18209091671570263</v>
      </c>
      <c r="N307" s="403">
        <f t="shared" si="116"/>
        <v>0</v>
      </c>
      <c r="O307" s="177">
        <f t="shared" si="121"/>
        <v>0.0033285849372506338</v>
      </c>
      <c r="P307" s="174">
        <f t="shared" si="126"/>
        <v>0.002138692243929319</v>
      </c>
      <c r="Q307" s="179">
        <f t="shared" si="109"/>
        <v>0.006121588901250245</v>
      </c>
      <c r="R307" s="179">
        <f t="shared" si="110"/>
        <v>0.010739585146645936</v>
      </c>
      <c r="S307" s="180">
        <f t="shared" si="111"/>
        <v>0.5700023620709473</v>
      </c>
      <c r="T307" s="179">
        <f t="shared" si="112"/>
        <v>0.989260414853354</v>
      </c>
      <c r="U307" s="181">
        <f t="shared" si="113"/>
        <v>0.6121588901250246</v>
      </c>
    </row>
    <row r="308" spans="1:21" ht="12.75">
      <c r="A308" s="91">
        <f t="shared" si="122"/>
        <v>2010.4999999999723</v>
      </c>
      <c r="B308" s="171">
        <f t="shared" si="117"/>
        <v>38.9519191055316</v>
      </c>
      <c r="C308" s="171">
        <f t="shared" si="118"/>
        <v>0.18112678619885508</v>
      </c>
      <c r="D308" s="172">
        <f t="shared" si="119"/>
        <v>0.24170807855113832</v>
      </c>
      <c r="E308" s="171">
        <f t="shared" si="106"/>
        <v>39.374753970281596</v>
      </c>
      <c r="F308" s="171"/>
      <c r="G308" s="171">
        <f t="shared" si="114"/>
        <v>0.11763404622391481</v>
      </c>
      <c r="H308" s="171">
        <f t="shared" si="115"/>
        <v>0.11730476179756039</v>
      </c>
      <c r="I308" s="91">
        <f t="shared" si="124"/>
        <v>0.08499400133391387</v>
      </c>
      <c r="J308" s="91">
        <f t="shared" si="125"/>
        <v>29.745695056150083</v>
      </c>
      <c r="K308" s="172">
        <f t="shared" si="120"/>
        <v>0.035236201398568257</v>
      </c>
      <c r="L308" s="177">
        <f t="shared" si="107"/>
        <v>21.5938464975202</v>
      </c>
      <c r="M308" s="178">
        <f t="shared" si="108"/>
        <v>0.1825985961110175</v>
      </c>
      <c r="N308" s="403">
        <f t="shared" si="116"/>
        <v>0</v>
      </c>
      <c r="O308" s="177">
        <f t="shared" si="121"/>
        <v>0.0033179200416677047</v>
      </c>
      <c r="P308" s="174">
        <f t="shared" si="126"/>
        <v>0.00215938464975202</v>
      </c>
      <c r="Q308" s="179">
        <f t="shared" si="109"/>
        <v>0.006138656224584143</v>
      </c>
      <c r="R308" s="179">
        <f t="shared" si="110"/>
        <v>0.01073873033134712</v>
      </c>
      <c r="S308" s="180">
        <f t="shared" si="111"/>
        <v>0.5716370590538965</v>
      </c>
      <c r="T308" s="179">
        <f t="shared" si="112"/>
        <v>0.9892612696686529</v>
      </c>
      <c r="U308" s="181">
        <f t="shared" si="113"/>
        <v>0.6138656224584144</v>
      </c>
    </row>
    <row r="309" spans="1:21" ht="12.75">
      <c r="A309" s="91">
        <f t="shared" si="122"/>
        <v>2010.5999999999722</v>
      </c>
      <c r="B309" s="171">
        <f t="shared" si="117"/>
        <v>38.87074790542257</v>
      </c>
      <c r="C309" s="171">
        <f t="shared" si="118"/>
        <v>0.18007538624008393</v>
      </c>
      <c r="D309" s="172">
        <f t="shared" si="119"/>
        <v>0.24184465795395077</v>
      </c>
      <c r="E309" s="171">
        <f t="shared" si="106"/>
        <v>39.2926679496166</v>
      </c>
      <c r="F309" s="171"/>
      <c r="G309" s="171">
        <f t="shared" si="114"/>
        <v>0.11738881013287708</v>
      </c>
      <c r="H309" s="171">
        <f t="shared" si="115"/>
        <v>0.11705933964128823</v>
      </c>
      <c r="I309" s="91">
        <f t="shared" si="124"/>
        <v>0.08483020949538804</v>
      </c>
      <c r="J309" s="91">
        <f t="shared" si="125"/>
        <v>29.745695056150083</v>
      </c>
      <c r="K309" s="172">
        <f t="shared" si="120"/>
        <v>0.035527949841256075</v>
      </c>
      <c r="L309" s="177">
        <f t="shared" si="107"/>
        <v>21.79975605228405</v>
      </c>
      <c r="M309" s="178">
        <f t="shared" si="108"/>
        <v>0.18308345607077403</v>
      </c>
      <c r="N309" s="403">
        <f t="shared" si="116"/>
        <v>0</v>
      </c>
      <c r="O309" s="177">
        <f t="shared" si="121"/>
        <v>0.003307349687801136</v>
      </c>
      <c r="P309" s="174">
        <f t="shared" si="126"/>
        <v>0.002179975605228405</v>
      </c>
      <c r="Q309" s="179">
        <f t="shared" si="109"/>
        <v>0.006154956397057548</v>
      </c>
      <c r="R309" s="179">
        <f t="shared" si="110"/>
        <v>0.010737882312675886</v>
      </c>
      <c r="S309" s="180">
        <f t="shared" si="111"/>
        <v>0.5732002100443705</v>
      </c>
      <c r="T309" s="179">
        <f t="shared" si="112"/>
        <v>0.9892621176873242</v>
      </c>
      <c r="U309" s="181">
        <f t="shared" si="113"/>
        <v>0.6154956397057548</v>
      </c>
    </row>
    <row r="310" spans="1:21" ht="12.75">
      <c r="A310" s="91">
        <f t="shared" si="122"/>
        <v>2010.699999999972</v>
      </c>
      <c r="B310" s="171">
        <f t="shared" si="117"/>
        <v>38.78973383942463</v>
      </c>
      <c r="C310" s="171">
        <f t="shared" si="118"/>
        <v>0.1790577391743042</v>
      </c>
      <c r="D310" s="172">
        <f t="shared" si="119"/>
        <v>0.2419496076272165</v>
      </c>
      <c r="E310" s="171">
        <f aca="true" t="shared" si="127" ref="E310:E373">B310+C310+D310</f>
        <v>39.21074118622615</v>
      </c>
      <c r="F310" s="171"/>
      <c r="G310" s="171">
        <f t="shared" si="114"/>
        <v>0.11714404983090997</v>
      </c>
      <c r="H310" s="171">
        <f t="shared" si="115"/>
        <v>0.11681443636398832</v>
      </c>
      <c r="I310" s="91">
        <f t="shared" si="124"/>
        <v>0.08466658297416392</v>
      </c>
      <c r="J310" s="91">
        <f t="shared" si="125"/>
        <v>29.745695056150083</v>
      </c>
      <c r="K310" s="172">
        <f t="shared" si="120"/>
        <v>0.035819676807843724</v>
      </c>
      <c r="L310" s="177">
        <f aca="true" t="shared" si="128" ref="L310:L373">phi*P310</f>
        <v>22.004586104585545</v>
      </c>
      <c r="M310" s="178">
        <f aca="true" t="shared" si="129" ref="M310:M373">MIN(1,J310*D310/E310)</f>
        <v>0.18354560586481533</v>
      </c>
      <c r="N310" s="403">
        <f t="shared" si="116"/>
        <v>0</v>
      </c>
      <c r="O310" s="177">
        <f t="shared" si="121"/>
        <v>0.0032968824066114074</v>
      </c>
      <c r="P310" s="174">
        <f t="shared" si="126"/>
        <v>0.0022004586104585546</v>
      </c>
      <c r="Q310" s="179">
        <f aca="true" t="shared" si="130" ref="Q310:Q373">D310/E310</f>
        <v>0.006170493092137926</v>
      </c>
      <c r="R310" s="179">
        <f aca="true" t="shared" si="131" ref="R310:R373">(C310+D310)/E310</f>
        <v>0.010737041281673378</v>
      </c>
      <c r="S310" s="180">
        <f aca="true" t="shared" si="132" ref="S310:S373">D310/(C310+D310)</f>
        <v>0.5746921270266596</v>
      </c>
      <c r="T310" s="179">
        <f aca="true" t="shared" si="133" ref="T310:T373">B310/E310</f>
        <v>0.9892629587183266</v>
      </c>
      <c r="U310" s="181">
        <f aca="true" t="shared" si="134" ref="U310:U373">Q310*100</f>
        <v>0.6170493092137925</v>
      </c>
    </row>
    <row r="311" spans="1:21" ht="12.75">
      <c r="A311" s="91">
        <f t="shared" si="122"/>
        <v>2010.799999999972</v>
      </c>
      <c r="B311" s="171">
        <f t="shared" si="117"/>
        <v>38.708876476264756</v>
      </c>
      <c r="C311" s="171">
        <f t="shared" si="118"/>
        <v>0.17807349110638654</v>
      </c>
      <c r="D311" s="172">
        <f t="shared" si="119"/>
        <v>0.24202327886704408</v>
      </c>
      <c r="E311" s="171">
        <f t="shared" si="127"/>
        <v>39.12897324623819</v>
      </c>
      <c r="F311" s="171"/>
      <c r="G311" s="171">
        <f t="shared" si="114"/>
        <v>0.11689976402179891</v>
      </c>
      <c r="H311" s="171">
        <f t="shared" si="115"/>
        <v>0.11657005019086758</v>
      </c>
      <c r="I311" s="91">
        <f t="shared" si="124"/>
        <v>0.08450308101515036</v>
      </c>
      <c r="J311" s="91">
        <f t="shared" si="125"/>
        <v>29.745695056150083</v>
      </c>
      <c r="K311" s="172">
        <f t="shared" si="120"/>
        <v>0.036111277212941356</v>
      </c>
      <c r="L311" s="177">
        <f t="shared" si="128"/>
        <v>22.20827068563143</v>
      </c>
      <c r="M311" s="178">
        <f t="shared" si="129"/>
        <v>0.18398516629517703</v>
      </c>
      <c r="N311" s="403">
        <f t="shared" si="116"/>
        <v>0</v>
      </c>
      <c r="O311" s="177">
        <f t="shared" si="121"/>
        <v>0.0032865261221531744</v>
      </c>
      <c r="P311" s="174">
        <f t="shared" si="126"/>
        <v>0.002220827068563143</v>
      </c>
      <c r="Q311" s="179">
        <f t="shared" si="130"/>
        <v>0.006185270370985569</v>
      </c>
      <c r="R311" s="179">
        <f t="shared" si="131"/>
        <v>0.010736207345124196</v>
      </c>
      <c r="S311" s="180">
        <f t="shared" si="132"/>
        <v>0.5761131628847113</v>
      </c>
      <c r="T311" s="179">
        <f t="shared" si="133"/>
        <v>0.9892637926548757</v>
      </c>
      <c r="U311" s="181">
        <f t="shared" si="134"/>
        <v>0.6185270370985569</v>
      </c>
    </row>
    <row r="312" spans="1:21" ht="12.75">
      <c r="A312" s="91">
        <f t="shared" si="122"/>
        <v>2010.899999999972</v>
      </c>
      <c r="B312" s="171">
        <f t="shared" si="117"/>
        <v>38.62817539361203</v>
      </c>
      <c r="C312" s="171">
        <f t="shared" si="118"/>
        <v>0.17712227600207758</v>
      </c>
      <c r="D312" s="172">
        <f t="shared" si="119"/>
        <v>0.2420660353494543</v>
      </c>
      <c r="E312" s="171">
        <f t="shared" si="127"/>
        <v>39.047363704963566</v>
      </c>
      <c r="F312" s="171"/>
      <c r="G312" s="171">
        <f t="shared" si="114"/>
        <v>0.11665595143676391</v>
      </c>
      <c r="H312" s="171">
        <f t="shared" si="115"/>
        <v>0.11632617935770176</v>
      </c>
      <c r="I312" s="91">
        <f t="shared" si="124"/>
        <v>0.08433970438890166</v>
      </c>
      <c r="J312" s="91">
        <f t="shared" si="125"/>
        <v>29.745695056150083</v>
      </c>
      <c r="K312" s="172">
        <f t="shared" si="120"/>
        <v>0.03640267320397755</v>
      </c>
      <c r="L312" s="177">
        <f t="shared" si="128"/>
        <v>22.410743089456084</v>
      </c>
      <c r="M312" s="178">
        <f t="shared" si="129"/>
        <v>0.18440226913554275</v>
      </c>
      <c r="N312" s="403">
        <f t="shared" si="116"/>
        <v>0</v>
      </c>
      <c r="O312" s="177">
        <f t="shared" si="121"/>
        <v>0.003276288087397126</v>
      </c>
      <c r="P312" s="174">
        <f t="shared" si="126"/>
        <v>0.0022410743089456083</v>
      </c>
      <c r="Q312" s="179">
        <f t="shared" si="130"/>
        <v>0.006199292663609034</v>
      </c>
      <c r="R312" s="179">
        <f t="shared" si="131"/>
        <v>0.0107353806141398</v>
      </c>
      <c r="S312" s="180">
        <f t="shared" si="132"/>
        <v>0.5774637049611276</v>
      </c>
      <c r="T312" s="179">
        <f t="shared" si="133"/>
        <v>0.9892646193858602</v>
      </c>
      <c r="U312" s="181">
        <f t="shared" si="134"/>
        <v>0.6199292663609034</v>
      </c>
    </row>
    <row r="313" spans="1:22" ht="12.75">
      <c r="A313" s="91">
        <f t="shared" si="122"/>
        <v>2010.9999999999718</v>
      </c>
      <c r="B313" s="171">
        <f t="shared" si="117"/>
        <v>38.54763017915005</v>
      </c>
      <c r="C313" s="171">
        <f t="shared" si="118"/>
        <v>0.17620371617333475</v>
      </c>
      <c r="D313" s="172">
        <f t="shared" si="119"/>
        <v>0.24207825255790538</v>
      </c>
      <c r="E313" s="171">
        <f t="shared" si="127"/>
        <v>38.96591214788128</v>
      </c>
      <c r="F313" s="171"/>
      <c r="G313" s="171">
        <f t="shared" si="114"/>
        <v>0.11641261083740273</v>
      </c>
      <c r="H313" s="171">
        <f t="shared" si="115"/>
        <v>0.11608282211455896</v>
      </c>
      <c r="I313" s="91">
        <f t="shared" si="124"/>
        <v>0.08417645481596302</v>
      </c>
      <c r="J313" s="91">
        <f t="shared" si="125"/>
        <v>29.745695056150083</v>
      </c>
      <c r="K313" s="172">
        <f t="shared" si="120"/>
        <v>0.03669378400179226</v>
      </c>
      <c r="L313" s="177">
        <f t="shared" si="128"/>
        <v>22.611936205047087</v>
      </c>
      <c r="M313" s="178">
        <f t="shared" si="129"/>
        <v>0.1847970567963381</v>
      </c>
      <c r="N313" s="403">
        <f t="shared" si="116"/>
        <v>0</v>
      </c>
      <c r="O313" s="177">
        <f t="shared" si="121"/>
        <v>0.0032661749609234994</v>
      </c>
      <c r="P313" s="174">
        <f t="shared" si="126"/>
        <v>0.0022611936205047087</v>
      </c>
      <c r="Q313" s="179">
        <f t="shared" si="130"/>
        <v>0.00621256475760617</v>
      </c>
      <c r="R313" s="179">
        <f t="shared" si="131"/>
        <v>0.010734561201693403</v>
      </c>
      <c r="S313" s="180">
        <f t="shared" si="132"/>
        <v>0.5787441741564734</v>
      </c>
      <c r="T313" s="179">
        <f t="shared" si="133"/>
        <v>0.9892654387983068</v>
      </c>
      <c r="U313" s="181">
        <f t="shared" si="134"/>
        <v>0.621256475760617</v>
      </c>
      <c r="V313">
        <f>IF(ISNUMBER('Set-up'!$N$38)=FALSE,"",('Set-up'!$N$38-'EPP model'!U313)^2)</f>
      </c>
    </row>
    <row r="314" spans="1:21" ht="12.75">
      <c r="A314" s="91">
        <f t="shared" si="122"/>
        <v>2011.0999999999717</v>
      </c>
      <c r="B314" s="171">
        <f t="shared" si="117"/>
        <v>38.46724043063995</v>
      </c>
      <c r="C314" s="171">
        <f t="shared" si="118"/>
        <v>0.17531742279198617</v>
      </c>
      <c r="D314" s="172">
        <f t="shared" si="119"/>
        <v>0.2420603171876198</v>
      </c>
      <c r="E314" s="171">
        <f t="shared" si="127"/>
        <v>38.884618170619554</v>
      </c>
      <c r="F314" s="171"/>
      <c r="G314" s="171">
        <f t="shared" si="114"/>
        <v>0.11616974101563447</v>
      </c>
      <c r="H314" s="171">
        <f t="shared" si="115"/>
        <v>0.11583997672655454</v>
      </c>
      <c r="I314" s="91">
        <f t="shared" si="124"/>
        <v>0.08401333399990342</v>
      </c>
      <c r="J314" s="91">
        <f t="shared" si="125"/>
        <v>29.745695056150083</v>
      </c>
      <c r="K314" s="172">
        <f t="shared" si="120"/>
        <v>0.03698452673466554</v>
      </c>
      <c r="L314" s="177">
        <f t="shared" si="128"/>
        <v>22.81087113261944</v>
      </c>
      <c r="M314" s="178">
        <f t="shared" si="129"/>
        <v>0.18516968197204187</v>
      </c>
      <c r="N314" s="403">
        <f t="shared" si="116"/>
        <v>0</v>
      </c>
      <c r="O314" s="177">
        <f t="shared" si="121"/>
        <v>0.003256192814540958</v>
      </c>
      <c r="P314" s="174">
        <f t="shared" si="126"/>
        <v>0.002281087113261944</v>
      </c>
      <c r="Q314" s="179">
        <f t="shared" si="130"/>
        <v>0.006225091786307311</v>
      </c>
      <c r="R314" s="179">
        <f t="shared" si="131"/>
        <v>0.010733749220532872</v>
      </c>
      <c r="S314" s="180">
        <f t="shared" si="132"/>
        <v>0.579955023953715</v>
      </c>
      <c r="T314" s="179">
        <f t="shared" si="133"/>
        <v>0.9892662507794671</v>
      </c>
      <c r="U314" s="181">
        <f t="shared" si="134"/>
        <v>0.6225091786307311</v>
      </c>
    </row>
    <row r="315" spans="1:21" ht="12.75">
      <c r="A315" s="91">
        <f t="shared" si="122"/>
        <v>2011.1999999999716</v>
      </c>
      <c r="B315" s="171">
        <f t="shared" si="117"/>
        <v>38.38700575591713</v>
      </c>
      <c r="C315" s="171">
        <f t="shared" si="118"/>
        <v>0.1744629964557632</v>
      </c>
      <c r="D315" s="172">
        <f t="shared" si="119"/>
        <v>0.2420127176997449</v>
      </c>
      <c r="E315" s="171">
        <f t="shared" si="127"/>
        <v>38.80348147007264</v>
      </c>
      <c r="F315" s="171"/>
      <c r="G315" s="171">
        <f t="shared" si="114"/>
        <v>0.11592734106591554</v>
      </c>
      <c r="H315" s="171">
        <f t="shared" si="115"/>
        <v>0.1155976416227032</v>
      </c>
      <c r="I315" s="91">
        <f t="shared" si="124"/>
        <v>0.08385034362482174</v>
      </c>
      <c r="J315" s="91">
        <f t="shared" si="125"/>
        <v>29.745695056150083</v>
      </c>
      <c r="K315" s="172">
        <f t="shared" si="120"/>
        <v>0.03727481717786637</v>
      </c>
      <c r="L315" s="177">
        <f t="shared" si="128"/>
        <v>23.009271054827494</v>
      </c>
      <c r="M315" s="178">
        <f t="shared" si="129"/>
        <v>0.18552037672080746</v>
      </c>
      <c r="N315" s="403">
        <f t="shared" si="116"/>
        <v>0</v>
      </c>
      <c r="O315" s="177">
        <f t="shared" si="121"/>
        <v>0.0032463471422550087</v>
      </c>
      <c r="P315" s="174">
        <f t="shared" si="126"/>
        <v>0.002300927105482749</v>
      </c>
      <c r="Q315" s="179">
        <f t="shared" si="130"/>
        <v>0.006236881551115414</v>
      </c>
      <c r="R315" s="179">
        <f t="shared" si="131"/>
        <v>0.010732947106220787</v>
      </c>
      <c r="S315" s="180">
        <f t="shared" si="132"/>
        <v>0.5810968310372586</v>
      </c>
      <c r="T315" s="179">
        <f t="shared" si="133"/>
        <v>0.9892670528937791</v>
      </c>
      <c r="U315" s="181">
        <f t="shared" si="134"/>
        <v>0.6236881551115414</v>
      </c>
    </row>
    <row r="316" spans="1:21" ht="12.75">
      <c r="A316" s="91">
        <f t="shared" si="122"/>
        <v>2011.2999999999715</v>
      </c>
      <c r="B316" s="171">
        <f t="shared" si="117"/>
        <v>38.30692584315965</v>
      </c>
      <c r="C316" s="171">
        <f t="shared" si="118"/>
        <v>0.17363995624690776</v>
      </c>
      <c r="D316" s="172">
        <f t="shared" si="119"/>
        <v>0.2419357743318471</v>
      </c>
      <c r="E316" s="171">
        <f t="shared" si="127"/>
        <v>38.722501573738406</v>
      </c>
      <c r="F316" s="171"/>
      <c r="G316" s="171">
        <f t="shared" si="114"/>
        <v>0.1156854095766222</v>
      </c>
      <c r="H316" s="171">
        <f t="shared" si="115"/>
        <v>0.11535581495511425</v>
      </c>
      <c r="I316" s="91">
        <f t="shared" si="124"/>
        <v>0.08368748534425814</v>
      </c>
      <c r="J316" s="91">
        <f t="shared" si="125"/>
        <v>29.745695056150083</v>
      </c>
      <c r="K316" s="172">
        <f t="shared" si="120"/>
        <v>0.03756372992395045</v>
      </c>
      <c r="L316" s="177">
        <f t="shared" si="128"/>
        <v>23.206502098927974</v>
      </c>
      <c r="M316" s="178">
        <f t="shared" si="129"/>
        <v>0.18584924718111093</v>
      </c>
      <c r="N316" s="403">
        <f t="shared" si="116"/>
        <v>0</v>
      </c>
      <c r="O316" s="177">
        <f t="shared" si="121"/>
        <v>0.0032366440826314086</v>
      </c>
      <c r="P316" s="174">
        <f t="shared" si="126"/>
        <v>0.002320650209892797</v>
      </c>
      <c r="Q316" s="179">
        <f t="shared" si="130"/>
        <v>0.006247937620226683</v>
      </c>
      <c r="R316" s="179">
        <f t="shared" si="131"/>
        <v>0.010732150911980291</v>
      </c>
      <c r="S316" s="180">
        <f t="shared" si="132"/>
        <v>0.5821701233489099</v>
      </c>
      <c r="T316" s="179">
        <f t="shared" si="133"/>
        <v>0.9892678490880196</v>
      </c>
      <c r="U316" s="181">
        <f t="shared" si="134"/>
        <v>0.6247937620226682</v>
      </c>
    </row>
    <row r="317" spans="1:21" ht="12.75">
      <c r="A317" s="91">
        <f t="shared" si="122"/>
        <v>2011.3999999999714</v>
      </c>
      <c r="B317" s="171">
        <f t="shared" si="117"/>
        <v>38.22700026799236</v>
      </c>
      <c r="C317" s="171">
        <f t="shared" si="118"/>
        <v>0.1728479368969425</v>
      </c>
      <c r="D317" s="172">
        <f t="shared" si="119"/>
        <v>0.24182987124802321</v>
      </c>
      <c r="E317" s="171">
        <f t="shared" si="127"/>
        <v>38.641678076137325</v>
      </c>
      <c r="F317" s="171"/>
      <c r="G317" s="171">
        <f t="shared" si="114"/>
        <v>0.1154439453363641</v>
      </c>
      <c r="H317" s="171">
        <f t="shared" si="115"/>
        <v>0.11511449498904183</v>
      </c>
      <c r="I317" s="91">
        <f t="shared" si="124"/>
        <v>0.08352476081646856</v>
      </c>
      <c r="J317" s="91">
        <f t="shared" si="125"/>
        <v>29.745695056150083</v>
      </c>
      <c r="K317" s="172">
        <f t="shared" si="120"/>
        <v>0.03785263780931491</v>
      </c>
      <c r="L317" s="177">
        <f t="shared" si="128"/>
        <v>23.40216432124725</v>
      </c>
      <c r="M317" s="178">
        <f t="shared" si="129"/>
        <v>0.18615644981665344</v>
      </c>
      <c r="N317" s="403">
        <f t="shared" si="116"/>
        <v>0</v>
      </c>
      <c r="O317" s="177">
        <f t="shared" si="121"/>
        <v>0.0032270855149048846</v>
      </c>
      <c r="P317" s="174">
        <f t="shared" si="126"/>
        <v>0.002340216432124725</v>
      </c>
      <c r="Q317" s="179">
        <f t="shared" si="130"/>
        <v>0.006258265253686334</v>
      </c>
      <c r="R317" s="179">
        <f t="shared" si="131"/>
        <v>0.010731361286326865</v>
      </c>
      <c r="S317" s="180">
        <f t="shared" si="132"/>
        <v>0.5831753387764671</v>
      </c>
      <c r="T317" s="179">
        <f t="shared" si="133"/>
        <v>0.9892686387136731</v>
      </c>
      <c r="U317" s="181">
        <f t="shared" si="134"/>
        <v>0.6258265253686334</v>
      </c>
    </row>
    <row r="318" spans="1:21" ht="12.75">
      <c r="A318" s="91">
        <f t="shared" si="122"/>
        <v>2011.4999999999714</v>
      </c>
      <c r="B318" s="171">
        <f t="shared" si="117"/>
        <v>38.147228631857786</v>
      </c>
      <c r="C318" s="171">
        <f t="shared" si="118"/>
        <v>0.17208654786242092</v>
      </c>
      <c r="D318" s="172">
        <f t="shared" si="119"/>
        <v>0.2416954353892806</v>
      </c>
      <c r="E318" s="171">
        <f t="shared" si="127"/>
        <v>38.56101061510949</v>
      </c>
      <c r="F318" s="171"/>
      <c r="G318" s="171">
        <f t="shared" si="114"/>
        <v>0.11520294726317036</v>
      </c>
      <c r="H318" s="171">
        <f t="shared" si="115"/>
        <v>0.11487368006088361</v>
      </c>
      <c r="I318" s="91">
        <f t="shared" si="124"/>
        <v>0.08336217167002212</v>
      </c>
      <c r="J318" s="91">
        <f t="shared" si="125"/>
        <v>29.745695056150083</v>
      </c>
      <c r="K318" s="172">
        <f t="shared" si="120"/>
        <v>0.03814126980243726</v>
      </c>
      <c r="L318" s="177">
        <f t="shared" si="128"/>
        <v>23.59619963643459</v>
      </c>
      <c r="M318" s="178">
        <f t="shared" si="129"/>
        <v>0.18644217573322416</v>
      </c>
      <c r="N318" s="403">
        <f t="shared" si="116"/>
        <v>0</v>
      </c>
      <c r="O318" s="177">
        <f t="shared" si="121"/>
        <v>0.0032176758290867764</v>
      </c>
      <c r="P318" s="174">
        <f t="shared" si="126"/>
        <v>0.002359619963643459</v>
      </c>
      <c r="Q318" s="179">
        <f t="shared" si="130"/>
        <v>0.006267870876148051</v>
      </c>
      <c r="R318" s="179">
        <f t="shared" si="131"/>
        <v>0.01073057932484705</v>
      </c>
      <c r="S318" s="180">
        <f t="shared" si="132"/>
        <v>0.5841129995315878</v>
      </c>
      <c r="T318" s="179">
        <f t="shared" si="133"/>
        <v>0.9892694206751529</v>
      </c>
      <c r="U318" s="181">
        <f t="shared" si="134"/>
        <v>0.6267870876148051</v>
      </c>
    </row>
    <row r="319" spans="1:21" ht="12.75">
      <c r="A319" s="91">
        <f t="shared" si="122"/>
        <v>2011.5999999999713</v>
      </c>
      <c r="B319" s="171">
        <f t="shared" si="117"/>
        <v>38.067610576050114</v>
      </c>
      <c r="C319" s="171">
        <f t="shared" si="118"/>
        <v>0.1713553596463934</v>
      </c>
      <c r="D319" s="172">
        <f t="shared" si="119"/>
        <v>0.2415329017333127</v>
      </c>
      <c r="E319" s="171">
        <f t="shared" si="127"/>
        <v>38.48049883742982</v>
      </c>
      <c r="F319" s="171"/>
      <c r="G319" s="171">
        <f t="shared" si="114"/>
        <v>0.11496241430176346</v>
      </c>
      <c r="H319" s="171">
        <f t="shared" si="115"/>
        <v>0.11463336852278204</v>
      </c>
      <c r="I319" s="91">
        <f t="shared" si="124"/>
        <v>0.08319971951583666</v>
      </c>
      <c r="J319" s="91">
        <f t="shared" si="125"/>
        <v>29.745695056150083</v>
      </c>
      <c r="K319" s="172">
        <f t="shared" si="120"/>
        <v>0.03842918255137724</v>
      </c>
      <c r="L319" s="177">
        <f t="shared" si="128"/>
        <v>23.78854873403583</v>
      </c>
      <c r="M319" s="178">
        <f t="shared" si="129"/>
        <v>0.1867066243433879</v>
      </c>
      <c r="N319" s="403">
        <f t="shared" si="116"/>
        <v>0</v>
      </c>
      <c r="O319" s="177">
        <f t="shared" si="121"/>
        <v>0.0032084190397889375</v>
      </c>
      <c r="P319" s="174">
        <f t="shared" si="126"/>
        <v>0.002378854873403583</v>
      </c>
      <c r="Q319" s="179">
        <f t="shared" si="130"/>
        <v>0.006276761191525268</v>
      </c>
      <c r="R319" s="179">
        <f t="shared" si="131"/>
        <v>0.010729805326174499</v>
      </c>
      <c r="S319" s="180">
        <f t="shared" si="132"/>
        <v>0.5849836973475756</v>
      </c>
      <c r="T319" s="179">
        <f t="shared" si="133"/>
        <v>0.9892701946738255</v>
      </c>
      <c r="U319" s="181">
        <f t="shared" si="134"/>
        <v>0.6276761191525269</v>
      </c>
    </row>
    <row r="320" spans="1:21" ht="12.75">
      <c r="A320" s="91">
        <f t="shared" si="122"/>
        <v>2011.6999999999712</v>
      </c>
      <c r="B320" s="171">
        <f t="shared" si="117"/>
        <v>37.98814575759368</v>
      </c>
      <c r="C320" s="171">
        <f t="shared" si="118"/>
        <v>0.17065392898427864</v>
      </c>
      <c r="D320" s="172">
        <f t="shared" si="119"/>
        <v>0.2413427122980307</v>
      </c>
      <c r="E320" s="171">
        <f t="shared" si="127"/>
        <v>38.400142398875985</v>
      </c>
      <c r="F320" s="171"/>
      <c r="G320" s="171">
        <f t="shared" si="114"/>
        <v>0.11472234542376197</v>
      </c>
      <c r="H320" s="171">
        <f t="shared" si="115"/>
        <v>0.11439355874418454</v>
      </c>
      <c r="I320" s="91">
        <f t="shared" si="124"/>
        <v>0.08303740594758674</v>
      </c>
      <c r="J320" s="91">
        <f t="shared" si="125"/>
        <v>29.745695056150083</v>
      </c>
      <c r="K320" s="172">
        <f t="shared" si="120"/>
        <v>0.038716217500106495</v>
      </c>
      <c r="L320" s="177">
        <f t="shared" si="128"/>
        <v>23.979149557336047</v>
      </c>
      <c r="M320" s="178">
        <f t="shared" si="129"/>
        <v>0.18695000267112338</v>
      </c>
      <c r="N320" s="403">
        <f t="shared" si="116"/>
        <v>0</v>
      </c>
      <c r="O320" s="177">
        <f t="shared" si="121"/>
        <v>0.0031993180762725304</v>
      </c>
      <c r="P320" s="174">
        <f t="shared" si="126"/>
        <v>0.002397914955733605</v>
      </c>
      <c r="Q320" s="179">
        <f t="shared" si="130"/>
        <v>0.0062849431596143</v>
      </c>
      <c r="R320" s="179">
        <f t="shared" si="131"/>
        <v>0.010729039413519699</v>
      </c>
      <c r="S320" s="180">
        <f t="shared" si="132"/>
        <v>0.5857880577542312</v>
      </c>
      <c r="T320" s="179">
        <f t="shared" si="133"/>
        <v>0.9892709605864803</v>
      </c>
      <c r="U320" s="181">
        <f t="shared" si="134"/>
        <v>0.62849431596143</v>
      </c>
    </row>
    <row r="321" spans="1:21" ht="12.75">
      <c r="A321" s="91">
        <f t="shared" si="122"/>
        <v>2011.799999999971</v>
      </c>
      <c r="B321" s="171">
        <f t="shared" si="117"/>
        <v>37.90883384387983</v>
      </c>
      <c r="C321" s="171">
        <f t="shared" si="118"/>
        <v>0.1699818048017842</v>
      </c>
      <c r="D321" s="172">
        <f t="shared" si="119"/>
        <v>0.24112531576687704</v>
      </c>
      <c r="E321" s="171">
        <f t="shared" si="127"/>
        <v>38.3199409644485</v>
      </c>
      <c r="F321" s="171"/>
      <c r="G321" s="171">
        <f t="shared" si="114"/>
        <v>0.11448273962833813</v>
      </c>
      <c r="H321" s="171">
        <f t="shared" si="115"/>
        <v>0.11415424911301171</v>
      </c>
      <c r="I321" s="91">
        <f t="shared" si="124"/>
        <v>0.08287523254210498</v>
      </c>
      <c r="J321" s="91">
        <f t="shared" si="125"/>
        <v>29.745695056150083</v>
      </c>
      <c r="K321" s="172">
        <f t="shared" si="120"/>
        <v>0.03900227856030747</v>
      </c>
      <c r="L321" s="177">
        <f t="shared" si="128"/>
        <v>24.167938612496016</v>
      </c>
      <c r="M321" s="178">
        <f t="shared" si="129"/>
        <v>0.187172525129245</v>
      </c>
      <c r="N321" s="403">
        <f t="shared" si="116"/>
        <v>0</v>
      </c>
      <c r="O321" s="177">
        <f t="shared" si="121"/>
        <v>0.0031903752479448596</v>
      </c>
      <c r="P321" s="174">
        <f t="shared" si="126"/>
        <v>0.0024167938612496016</v>
      </c>
      <c r="Q321" s="179">
        <f t="shared" si="130"/>
        <v>0.006292423988611626</v>
      </c>
      <c r="R321" s="179">
        <f t="shared" si="131"/>
        <v>0.0107282816784626</v>
      </c>
      <c r="S321" s="180">
        <f t="shared" si="132"/>
        <v>0.5865267316054803</v>
      </c>
      <c r="T321" s="179">
        <f t="shared" si="133"/>
        <v>0.9892717183215373</v>
      </c>
      <c r="U321" s="181">
        <f t="shared" si="134"/>
        <v>0.6292423988611626</v>
      </c>
    </row>
    <row r="322" spans="1:21" ht="12.75">
      <c r="A322" s="91">
        <f t="shared" si="122"/>
        <v>2011.899999999971</v>
      </c>
      <c r="B322" s="171">
        <f t="shared" si="117"/>
        <v>37.82967451279234</v>
      </c>
      <c r="C322" s="171">
        <f t="shared" si="118"/>
        <v>0.16933852972940916</v>
      </c>
      <c r="D322" s="172">
        <f t="shared" si="119"/>
        <v>0.24088116710351162</v>
      </c>
      <c r="E322" s="171">
        <f t="shared" si="127"/>
        <v>38.239894209625255</v>
      </c>
      <c r="F322" s="171"/>
      <c r="G322" s="171">
        <f t="shared" si="114"/>
        <v>0.11424359594596595</v>
      </c>
      <c r="H322" s="171">
        <f t="shared" si="115"/>
        <v>0.11391543803993023</v>
      </c>
      <c r="I322" s="91">
        <f t="shared" si="124"/>
        <v>0.08271320202567932</v>
      </c>
      <c r="J322" s="91">
        <f t="shared" si="125"/>
        <v>29.745695056150083</v>
      </c>
      <c r="K322" s="172">
        <f t="shared" si="120"/>
        <v>0.039287280188325654</v>
      </c>
      <c r="L322" s="177">
        <f t="shared" si="128"/>
        <v>24.354851945361847</v>
      </c>
      <c r="M322" s="178">
        <f t="shared" si="129"/>
        <v>0.18737441328033438</v>
      </c>
      <c r="N322" s="403">
        <f t="shared" si="116"/>
        <v>0</v>
      </c>
      <c r="O322" s="177">
        <f t="shared" si="121"/>
        <v>0.0031815923630776374</v>
      </c>
      <c r="P322" s="174">
        <f t="shared" si="126"/>
        <v>0.0024354851945361847</v>
      </c>
      <c r="Q322" s="179">
        <f t="shared" si="130"/>
        <v>0.006299211127076813</v>
      </c>
      <c r="R322" s="179">
        <f t="shared" si="131"/>
        <v>0.010727532209795328</v>
      </c>
      <c r="S322" s="180">
        <f t="shared" si="132"/>
        <v>0.5872003927729988</v>
      </c>
      <c r="T322" s="179">
        <f t="shared" si="133"/>
        <v>0.9892724677902047</v>
      </c>
      <c r="U322" s="181">
        <f t="shared" si="134"/>
        <v>0.6299211127076814</v>
      </c>
    </row>
    <row r="323" spans="1:22" ht="12.75">
      <c r="A323" s="91">
        <f t="shared" si="122"/>
        <v>2011.999999999971</v>
      </c>
      <c r="B323" s="171">
        <f t="shared" si="117"/>
        <v>37.75066745037859</v>
      </c>
      <c r="C323" s="171">
        <f t="shared" si="118"/>
        <v>0.16872364056145867</v>
      </c>
      <c r="D323" s="172">
        <f t="shared" si="119"/>
        <v>0.24061072710700238</v>
      </c>
      <c r="E323" s="171">
        <f t="shared" si="127"/>
        <v>38.16000181804706</v>
      </c>
      <c r="F323" s="171"/>
      <c r="G323" s="171">
        <f aca="true" t="shared" si="135" ref="G323:G386">E323*b*Solution_interval</f>
        <v>0.1140049134315065</v>
      </c>
      <c r="H323" s="171">
        <f aca="true" t="shared" si="136" ref="H323:H386">b*(B323+C323+(1-v)*e*D323)*Solution_interval</f>
        <v>0.11367712395204405</v>
      </c>
      <c r="I323" s="91">
        <f t="shared" si="124"/>
        <v>0.08255131480784451</v>
      </c>
      <c r="J323" s="91">
        <f t="shared" si="125"/>
        <v>29.745695056150083</v>
      </c>
      <c r="K323" s="172">
        <f t="shared" si="120"/>
        <v>0.039571136866132395</v>
      </c>
      <c r="L323" s="177">
        <f t="shared" si="128"/>
        <v>24.539825362420732</v>
      </c>
      <c r="M323" s="178">
        <f t="shared" si="129"/>
        <v>0.18755589556546104</v>
      </c>
      <c r="N323" s="403">
        <f aca="true" t="shared" si="137" ref="N323:N386">IF(ROUND(A323,1)=t0,0.01,0)</f>
        <v>0</v>
      </c>
      <c r="O323" s="177">
        <f t="shared" si="121"/>
        <v>0.0031729707653802503</v>
      </c>
      <c r="P323" s="174">
        <f t="shared" si="126"/>
        <v>0.0024539825362420733</v>
      </c>
      <c r="Q323" s="179">
        <f t="shared" si="130"/>
        <v>0.006305312254812579</v>
      </c>
      <c r="R323" s="179">
        <f t="shared" si="131"/>
        <v>0.010726791094513891</v>
      </c>
      <c r="S323" s="180">
        <f t="shared" si="132"/>
        <v>0.5878097372510002</v>
      </c>
      <c r="T323" s="179">
        <f t="shared" si="133"/>
        <v>0.989273208905486</v>
      </c>
      <c r="U323" s="181">
        <f t="shared" si="134"/>
        <v>0.6305312254812578</v>
      </c>
      <c r="V323">
        <f>IF(ISNUMBER('Set-up'!$N$39)=FALSE,"",('Set-up'!$N$39-'EPP model'!U323)^2)</f>
      </c>
    </row>
    <row r="324" spans="1:21" ht="12.75">
      <c r="A324" s="91">
        <f t="shared" si="122"/>
        <v>2012.0999999999708</v>
      </c>
      <c r="B324" s="171">
        <f aca="true" t="shared" si="138" ref="B324:B387">MAX(0,B323+(1-K324)*I324-B323*mu*Solution_interval)</f>
        <v>37.67181235185671</v>
      </c>
      <c r="C324" s="171">
        <f aca="true" t="shared" si="139" ref="C324:C387">MAX(0,C323+K324*I324-(mu+M323+N323)*C323*Solution_interval)</f>
        <v>0.16813666880349387</v>
      </c>
      <c r="D324" s="172">
        <f aca="true" t="shared" si="140" ref="D324:D387">MAX(0,D323-P323+((M323+N323)*C323-mu*D323)*Solution_interval)</f>
        <v>0.24031446196363876</v>
      </c>
      <c r="E324" s="171">
        <f t="shared" si="127"/>
        <v>38.08026348262384</v>
      </c>
      <c r="F324" s="171"/>
      <c r="G324" s="171">
        <f t="shared" si="135"/>
        <v>0.11376669116751288</v>
      </c>
      <c r="H324" s="171">
        <f t="shared" si="136"/>
        <v>0.11343930529681007</v>
      </c>
      <c r="I324" s="91">
        <f t="shared" si="124"/>
        <v>0.08238957241467212</v>
      </c>
      <c r="J324" s="91">
        <f t="shared" si="125"/>
        <v>29.745695056150083</v>
      </c>
      <c r="K324" s="172">
        <f aca="true" t="shared" si="141" ref="K324:K387">EXP(phi*((B323/E323)-(1-fo)))/(EXP(phi*((B323/E323)-(1-fo)))+1/fo-1)</f>
        <v>0.03985376278370716</v>
      </c>
      <c r="L324" s="177">
        <f t="shared" si="128"/>
        <v>24.72279481614676</v>
      </c>
      <c r="M324" s="178">
        <f t="shared" si="129"/>
        <v>0.1877172070097409</v>
      </c>
      <c r="N324" s="403">
        <f t="shared" si="137"/>
        <v>0</v>
      </c>
      <c r="O324" s="177">
        <f aca="true" t="shared" si="142" ref="O324:O387">(M323+N323)*C323*Solution_interval</f>
        <v>0.003164511350856933</v>
      </c>
      <c r="P324" s="174">
        <f t="shared" si="126"/>
        <v>0.002472279481614676</v>
      </c>
      <c r="Q324" s="179">
        <f t="shared" si="130"/>
        <v>0.0063107352729661415</v>
      </c>
      <c r="R324" s="179">
        <f t="shared" si="131"/>
        <v>0.010726058420092348</v>
      </c>
      <c r="S324" s="180">
        <f t="shared" si="132"/>
        <v>0.5883554821167764</v>
      </c>
      <c r="T324" s="179">
        <f t="shared" si="133"/>
        <v>0.9892739415799077</v>
      </c>
      <c r="U324" s="181">
        <f t="shared" si="134"/>
        <v>0.6310735272966141</v>
      </c>
    </row>
    <row r="325" spans="1:21" ht="12.75">
      <c r="A325" s="91">
        <f aca="true" t="shared" si="143" ref="A325:A388">0.1+A324</f>
        <v>2012.1999999999707</v>
      </c>
      <c r="B325" s="171">
        <f t="shared" si="138"/>
        <v>37.59310892160194</v>
      </c>
      <c r="C325" s="171">
        <f t="shared" si="139"/>
        <v>0.1675771410875398</v>
      </c>
      <c r="D325" s="172">
        <f t="shared" si="140"/>
        <v>0.23999284278065064</v>
      </c>
      <c r="E325" s="171">
        <f t="shared" si="127"/>
        <v>38.00067890547013</v>
      </c>
      <c r="F325" s="171"/>
      <c r="G325" s="171">
        <f t="shared" si="135"/>
        <v>0.11352892826403732</v>
      </c>
      <c r="H325" s="171">
        <f t="shared" si="136"/>
        <v>0.11320198054248042</v>
      </c>
      <c r="I325" s="91">
        <f t="shared" si="124"/>
        <v>0.08222797636100908</v>
      </c>
      <c r="J325" s="91">
        <f t="shared" si="125"/>
        <v>29.745695056150083</v>
      </c>
      <c r="K325" s="172">
        <f t="shared" si="141"/>
        <v>0.0401350710144682</v>
      </c>
      <c r="L325" s="177">
        <f t="shared" si="128"/>
        <v>24.90369660161884</v>
      </c>
      <c r="M325" s="178">
        <f t="shared" si="129"/>
        <v>0.18785858891547835</v>
      </c>
      <c r="N325" s="403">
        <f t="shared" si="137"/>
        <v>0</v>
      </c>
      <c r="O325" s="177">
        <f t="shared" si="142"/>
        <v>0.003156214586371371</v>
      </c>
      <c r="P325" s="174">
        <f t="shared" si="126"/>
        <v>0.002490369660161884</v>
      </c>
      <c r="Q325" s="179">
        <f t="shared" si="130"/>
        <v>0.006315488293713197</v>
      </c>
      <c r="R325" s="179">
        <f t="shared" si="131"/>
        <v>0.01072533427316009</v>
      </c>
      <c r="S325" s="180">
        <f t="shared" si="132"/>
        <v>0.5888383646482298</v>
      </c>
      <c r="T325" s="179">
        <f t="shared" si="133"/>
        <v>0.9892746657268399</v>
      </c>
      <c r="U325" s="181">
        <f t="shared" si="134"/>
        <v>0.6315488293713197</v>
      </c>
    </row>
    <row r="326" spans="1:21" ht="12.75">
      <c r="A326" s="91">
        <f t="shared" si="143"/>
        <v>2012.2999999999706</v>
      </c>
      <c r="B326" s="171">
        <f t="shared" si="138"/>
        <v>37.51455687308502</v>
      </c>
      <c r="C326" s="171">
        <f t="shared" si="139"/>
        <v>0.16704457961369157</v>
      </c>
      <c r="D326" s="172">
        <f t="shared" si="140"/>
        <v>0.23964634511848928</v>
      </c>
      <c r="E326" s="171">
        <f t="shared" si="127"/>
        <v>37.9212477978172</v>
      </c>
      <c r="F326" s="171"/>
      <c r="G326" s="171">
        <f t="shared" si="135"/>
        <v>0.1132916238583688</v>
      </c>
      <c r="H326" s="171">
        <f t="shared" si="136"/>
        <v>0.11296514817847723</v>
      </c>
      <c r="I326" s="91">
        <f t="shared" si="124"/>
        <v>0.08206652814667563</v>
      </c>
      <c r="J326" s="91">
        <f t="shared" si="125"/>
        <v>29.745695056150083</v>
      </c>
      <c r="K326" s="172">
        <f t="shared" si="141"/>
        <v>0.04041497404924023</v>
      </c>
      <c r="L326" s="177">
        <f t="shared" si="128"/>
        <v>25.082467500089724</v>
      </c>
      <c r="M326" s="178">
        <f t="shared" si="129"/>
        <v>0.18798028855015173</v>
      </c>
      <c r="N326" s="403">
        <f t="shared" si="137"/>
        <v>0</v>
      </c>
      <c r="O326" s="177">
        <f t="shared" si="142"/>
        <v>0.003148080525919526</v>
      </c>
      <c r="P326" s="174">
        <f t="shared" si="126"/>
        <v>0.0025082467500089725</v>
      </c>
      <c r="Q326" s="179">
        <f t="shared" si="130"/>
        <v>0.006319579629768503</v>
      </c>
      <c r="R326" s="179">
        <f t="shared" si="131"/>
        <v>0.01072461873882722</v>
      </c>
      <c r="S326" s="180">
        <f t="shared" si="132"/>
        <v>0.5892591413892606</v>
      </c>
      <c r="T326" s="179">
        <f t="shared" si="133"/>
        <v>0.9892753812611728</v>
      </c>
      <c r="U326" s="181">
        <f t="shared" si="134"/>
        <v>0.6319579629768503</v>
      </c>
    </row>
    <row r="327" spans="1:21" ht="12.75">
      <c r="A327" s="91">
        <f t="shared" si="143"/>
        <v>2012.3999999999705</v>
      </c>
      <c r="B327" s="171">
        <f t="shared" si="138"/>
        <v>37.436155928763704</v>
      </c>
      <c r="C327" s="171">
        <f t="shared" si="139"/>
        <v>0.16653850259715244</v>
      </c>
      <c r="D327" s="172">
        <f t="shared" si="140"/>
        <v>0.23927544852773092</v>
      </c>
      <c r="E327" s="171">
        <f t="shared" si="127"/>
        <v>37.84196987988859</v>
      </c>
      <c r="F327" s="171"/>
      <c r="G327" s="171">
        <f t="shared" si="135"/>
        <v>0.11305477711466116</v>
      </c>
      <c r="H327" s="171">
        <f t="shared" si="136"/>
        <v>0.11272880671565162</v>
      </c>
      <c r="I327" s="91">
        <f t="shared" si="124"/>
        <v>0.08190522923374689</v>
      </c>
      <c r="J327" s="91">
        <f t="shared" si="125"/>
        <v>29.745695056150083</v>
      </c>
      <c r="K327" s="172">
        <f t="shared" si="141"/>
        <v>0.040693384100585164</v>
      </c>
      <c r="L327" s="177">
        <f t="shared" si="128"/>
        <v>25.25934541060517</v>
      </c>
      <c r="M327" s="178">
        <f t="shared" si="129"/>
        <v>0.1880825588340216</v>
      </c>
      <c r="N327" s="403">
        <f t="shared" si="137"/>
        <v>0</v>
      </c>
      <c r="O327" s="177">
        <f t="shared" si="142"/>
        <v>0.0031401088276520536</v>
      </c>
      <c r="P327" s="174">
        <f t="shared" si="126"/>
        <v>0.002525934541060517</v>
      </c>
      <c r="Q327" s="179">
        <f t="shared" si="130"/>
        <v>0.006323017783883807</v>
      </c>
      <c r="R327" s="179">
        <f t="shared" si="131"/>
        <v>0.010723911900277591</v>
      </c>
      <c r="S327" s="180">
        <f t="shared" si="132"/>
        <v>0.5896185871985888</v>
      </c>
      <c r="T327" s="179">
        <f t="shared" si="133"/>
        <v>0.9892760880997223</v>
      </c>
      <c r="U327" s="181">
        <f t="shared" si="134"/>
        <v>0.6323017783883808</v>
      </c>
    </row>
    <row r="328" spans="1:21" ht="12.75">
      <c r="A328" s="91">
        <f t="shared" si="143"/>
        <v>2012.4999999999704</v>
      </c>
      <c r="B328" s="171">
        <f t="shared" si="138"/>
        <v>37.357905820024854</v>
      </c>
      <c r="C328" s="171">
        <f t="shared" si="139"/>
        <v>0.16605842471597582</v>
      </c>
      <c r="D328" s="172">
        <f t="shared" si="140"/>
        <v>0.23888060604216768</v>
      </c>
      <c r="E328" s="171">
        <f t="shared" si="127"/>
        <v>37.762844850783</v>
      </c>
      <c r="F328" s="171"/>
      <c r="G328" s="171">
        <f t="shared" si="135"/>
        <v>0.11281838713395675</v>
      </c>
      <c r="H328" s="171">
        <f t="shared" si="136"/>
        <v>0.11249295463786768</v>
      </c>
      <c r="I328" s="91">
        <f t="shared" si="124"/>
        <v>0.08174408111663015</v>
      </c>
      <c r="J328" s="91">
        <f t="shared" si="125"/>
        <v>29.745695056150083</v>
      </c>
      <c r="K328" s="172">
        <f t="shared" si="141"/>
        <v>0.04097021331192421</v>
      </c>
      <c r="L328" s="177">
        <f t="shared" si="128"/>
        <v>25.433945139930668</v>
      </c>
      <c r="M328" s="178">
        <f t="shared" si="129"/>
        <v>0.18816563450757365</v>
      </c>
      <c r="N328" s="403">
        <f t="shared" si="137"/>
        <v>0</v>
      </c>
      <c r="O328" s="177">
        <f t="shared" si="142"/>
        <v>0.0031322987712858784</v>
      </c>
      <c r="P328" s="174">
        <f t="shared" si="126"/>
        <v>0.002543394513993067</v>
      </c>
      <c r="Q328" s="179">
        <f t="shared" si="130"/>
        <v>0.006325810647637544</v>
      </c>
      <c r="R328" s="179">
        <f t="shared" si="131"/>
        <v>0.010723213051300272</v>
      </c>
      <c r="S328" s="180">
        <f t="shared" si="132"/>
        <v>0.5899174638585112</v>
      </c>
      <c r="T328" s="179">
        <f t="shared" si="133"/>
        <v>0.9892767869486997</v>
      </c>
      <c r="U328" s="181">
        <f t="shared" si="134"/>
        <v>0.6325810647637544</v>
      </c>
    </row>
    <row r="329" spans="1:21" ht="12.75">
      <c r="A329" s="91">
        <f t="shared" si="143"/>
        <v>2012.5999999999704</v>
      </c>
      <c r="B329" s="171">
        <f t="shared" si="138"/>
        <v>37.279806261651004</v>
      </c>
      <c r="C329" s="171">
        <f t="shared" si="139"/>
        <v>0.16560388333639667</v>
      </c>
      <c r="D329" s="172">
        <f t="shared" si="140"/>
        <v>0.23846230584765357</v>
      </c>
      <c r="E329" s="171">
        <f t="shared" si="127"/>
        <v>37.683872450835054</v>
      </c>
      <c r="F329" s="171"/>
      <c r="G329" s="171">
        <f t="shared" si="135"/>
        <v>0.11258245314049227</v>
      </c>
      <c r="H329" s="171">
        <f t="shared" si="136"/>
        <v>0.11225759050429546</v>
      </c>
      <c r="I329" s="91">
        <f t="shared" si="124"/>
        <v>0.0815830852528422</v>
      </c>
      <c r="J329" s="91">
        <f t="shared" si="125"/>
        <v>29.745695056150083</v>
      </c>
      <c r="K329" s="172">
        <f t="shared" si="141"/>
        <v>0.04124568521265203</v>
      </c>
      <c r="L329" s="177">
        <f t="shared" si="128"/>
        <v>25.60621567632431</v>
      </c>
      <c r="M329" s="178">
        <f t="shared" si="129"/>
        <v>0.18822978029619977</v>
      </c>
      <c r="N329" s="403">
        <f t="shared" si="137"/>
        <v>0</v>
      </c>
      <c r="O329" s="177">
        <f t="shared" si="142"/>
        <v>0.003124648885200974</v>
      </c>
      <c r="P329" s="174">
        <f t="shared" si="126"/>
        <v>0.002560621567632431</v>
      </c>
      <c r="Q329" s="179">
        <f t="shared" si="130"/>
        <v>0.006327967120650027</v>
      </c>
      <c r="R329" s="179">
        <f t="shared" si="131"/>
        <v>0.01072252300267767</v>
      </c>
      <c r="S329" s="180">
        <f t="shared" si="132"/>
        <v>0.5901565442265577</v>
      </c>
      <c r="T329" s="179">
        <f t="shared" si="133"/>
        <v>0.9892774769973224</v>
      </c>
      <c r="U329" s="181">
        <f t="shared" si="134"/>
        <v>0.6327967120650027</v>
      </c>
    </row>
    <row r="330" spans="1:21" ht="12.75">
      <c r="A330" s="91">
        <f t="shared" si="143"/>
        <v>2012.6999999999703</v>
      </c>
      <c r="B330" s="171">
        <f t="shared" si="138"/>
        <v>37.201857000590095</v>
      </c>
      <c r="C330" s="171">
        <f t="shared" si="139"/>
        <v>0.16517438914452912</v>
      </c>
      <c r="D330" s="172">
        <f t="shared" si="140"/>
        <v>0.23802103827675106</v>
      </c>
      <c r="E330" s="171">
        <f t="shared" si="127"/>
        <v>37.605052428011376</v>
      </c>
      <c r="F330" s="171"/>
      <c r="G330" s="171">
        <f t="shared" si="135"/>
        <v>0.11234697438130539</v>
      </c>
      <c r="H330" s="171">
        <f t="shared" si="136"/>
        <v>0.11202271289398132</v>
      </c>
      <c r="I330" s="91">
        <f t="shared" si="124"/>
        <v>0.08142224308668566</v>
      </c>
      <c r="J330" s="91">
        <f t="shared" si="125"/>
        <v>29.745695056150083</v>
      </c>
      <c r="K330" s="172">
        <f t="shared" si="141"/>
        <v>0.041519426820852884</v>
      </c>
      <c r="L330" s="177">
        <f t="shared" si="128"/>
        <v>25.77610492501873</v>
      </c>
      <c r="M330" s="178">
        <f t="shared" si="129"/>
        <v>0.1882752652740517</v>
      </c>
      <c r="N330" s="403">
        <f t="shared" si="137"/>
        <v>0</v>
      </c>
      <c r="O330" s="177">
        <f t="shared" si="142"/>
        <v>0.0031171582576607444</v>
      </c>
      <c r="P330" s="174">
        <f t="shared" si="126"/>
        <v>0.0025776104925018728</v>
      </c>
      <c r="Q330" s="179">
        <f t="shared" si="130"/>
        <v>0.006329496248739522</v>
      </c>
      <c r="R330" s="179">
        <f t="shared" si="131"/>
        <v>0.010721841917203302</v>
      </c>
      <c r="S330" s="180">
        <f t="shared" si="132"/>
        <v>0.5903366508868017</v>
      </c>
      <c r="T330" s="179">
        <f t="shared" si="133"/>
        <v>0.9892781580827967</v>
      </c>
      <c r="U330" s="181">
        <f t="shared" si="134"/>
        <v>0.6329496248739521</v>
      </c>
    </row>
    <row r="331" spans="1:21" ht="12.75">
      <c r="A331" s="91">
        <f t="shared" si="143"/>
        <v>2012.7999999999702</v>
      </c>
      <c r="B331" s="171">
        <f t="shared" si="138"/>
        <v>37.1240577951365</v>
      </c>
      <c r="C331" s="171">
        <f t="shared" si="139"/>
        <v>0.1647694477133072</v>
      </c>
      <c r="D331" s="172">
        <f t="shared" si="140"/>
        <v>0.2375572951243888</v>
      </c>
      <c r="E331" s="171">
        <f t="shared" si="127"/>
        <v>37.526384537974195</v>
      </c>
      <c r="F331" s="171"/>
      <c r="G331" s="171">
        <f t="shared" si="135"/>
        <v>0.11211195012642482</v>
      </c>
      <c r="H331" s="171">
        <f t="shared" si="136"/>
        <v>0.11178832040697054</v>
      </c>
      <c r="I331" s="91">
        <f t="shared" si="124"/>
        <v>0.08126155604970423</v>
      </c>
      <c r="J331" s="91">
        <f t="shared" si="125"/>
        <v>29.745695056150083</v>
      </c>
      <c r="K331" s="172">
        <f t="shared" si="141"/>
        <v>0.041791316590901434</v>
      </c>
      <c r="L331" s="177">
        <f t="shared" si="128"/>
        <v>25.943558100982745</v>
      </c>
      <c r="M331" s="178">
        <f t="shared" si="129"/>
        <v>0.18830236235476636</v>
      </c>
      <c r="N331" s="403">
        <f t="shared" si="137"/>
        <v>0</v>
      </c>
      <c r="O331" s="177">
        <f t="shared" si="142"/>
        <v>0.0031098251932665665</v>
      </c>
      <c r="P331" s="174">
        <f t="shared" si="126"/>
        <v>0.0025943558100982745</v>
      </c>
      <c r="Q331" s="179">
        <f t="shared" si="130"/>
        <v>0.006330407206801302</v>
      </c>
      <c r="R331" s="179">
        <f t="shared" si="131"/>
        <v>0.010721169859317734</v>
      </c>
      <c r="S331" s="180">
        <f t="shared" si="132"/>
        <v>0.5904586243729332</v>
      </c>
      <c r="T331" s="179">
        <f t="shared" si="133"/>
        <v>0.9892788301406823</v>
      </c>
      <c r="U331" s="181">
        <f t="shared" si="134"/>
        <v>0.6330407206801303</v>
      </c>
    </row>
    <row r="332" spans="1:21" ht="12.75">
      <c r="A332" s="91">
        <f t="shared" si="143"/>
        <v>2012.89999999997</v>
      </c>
      <c r="B332" s="171">
        <f t="shared" si="138"/>
        <v>37.046408411699275</v>
      </c>
      <c r="C332" s="171">
        <f t="shared" si="139"/>
        <v>0.16438856306762045</v>
      </c>
      <c r="D332" s="172">
        <f t="shared" si="140"/>
        <v>0.23707156953898006</v>
      </c>
      <c r="E332" s="171">
        <f t="shared" si="127"/>
        <v>37.44786854430588</v>
      </c>
      <c r="F332" s="171"/>
      <c r="G332" s="171">
        <f t="shared" si="135"/>
        <v>0.11187737966954103</v>
      </c>
      <c r="H332" s="171">
        <f t="shared" si="136"/>
        <v>0.11155441166512628</v>
      </c>
      <c r="I332" s="91">
        <f t="shared" si="124"/>
        <v>0.08110102556113587</v>
      </c>
      <c r="J332" s="91">
        <f t="shared" si="125"/>
        <v>29.745695056150083</v>
      </c>
      <c r="K332" s="172">
        <f t="shared" si="141"/>
        <v>0.042061271132912637</v>
      </c>
      <c r="L332" s="177">
        <f t="shared" si="128"/>
        <v>26.108519367684472</v>
      </c>
      <c r="M332" s="178">
        <f t="shared" si="129"/>
        <v>0.18831134823190487</v>
      </c>
      <c r="N332" s="403">
        <f t="shared" si="137"/>
        <v>0</v>
      </c>
      <c r="O332" s="177">
        <f t="shared" si="142"/>
        <v>0.00310264762483059</v>
      </c>
      <c r="P332" s="174">
        <f t="shared" si="126"/>
        <v>0.002610851936768447</v>
      </c>
      <c r="Q332" s="179">
        <f t="shared" si="130"/>
        <v>0.006330709296805303</v>
      </c>
      <c r="R332" s="179">
        <f t="shared" si="131"/>
        <v>0.010720506886302996</v>
      </c>
      <c r="S332" s="180">
        <f t="shared" si="132"/>
        <v>0.5905233179686403</v>
      </c>
      <c r="T332" s="179">
        <f t="shared" si="133"/>
        <v>0.989279493113697</v>
      </c>
      <c r="U332" s="181">
        <f t="shared" si="134"/>
        <v>0.6330709296805302</v>
      </c>
    </row>
    <row r="333" spans="1:22" ht="12.75">
      <c r="A333" s="91">
        <f t="shared" si="143"/>
        <v>2012.99999999997</v>
      </c>
      <c r="B333" s="171">
        <f t="shared" si="138"/>
        <v>36.96890862574816</v>
      </c>
      <c r="C333" s="171">
        <f t="shared" si="139"/>
        <v>0.1640312382870306</v>
      </c>
      <c r="D333" s="172">
        <f t="shared" si="140"/>
        <v>0.23656435583126115</v>
      </c>
      <c r="E333" s="171">
        <f t="shared" si="127"/>
        <v>37.36950421986646</v>
      </c>
      <c r="F333" s="171"/>
      <c r="G333" s="171">
        <f t="shared" si="135"/>
        <v>0.11164326233206204</v>
      </c>
      <c r="H333" s="171">
        <f t="shared" si="136"/>
        <v>0.11132098531644581</v>
      </c>
      <c r="I333" s="91">
        <f t="shared" si="124"/>
        <v>0.08094065432575381</v>
      </c>
      <c r="J333" s="91">
        <f t="shared" si="125"/>
        <v>29.745695056150083</v>
      </c>
      <c r="K333" s="172">
        <f t="shared" si="141"/>
        <v>0.04232920950179064</v>
      </c>
      <c r="L333" s="177">
        <f t="shared" si="128"/>
        <v>26.27093300786398</v>
      </c>
      <c r="M333" s="178">
        <f t="shared" si="129"/>
        <v>0.18830250324729678</v>
      </c>
      <c r="N333" s="403">
        <f t="shared" si="137"/>
        <v>0</v>
      </c>
      <c r="O333" s="177">
        <f t="shared" si="142"/>
        <v>0.0030956231945169135</v>
      </c>
      <c r="P333" s="174">
        <f t="shared" si="126"/>
        <v>0.002627093300786398</v>
      </c>
      <c r="Q333" s="179">
        <f t="shared" si="130"/>
        <v>0.006330411943370078</v>
      </c>
      <c r="R333" s="179">
        <f t="shared" si="131"/>
        <v>0.010719853058829885</v>
      </c>
      <c r="S333" s="180">
        <f t="shared" si="132"/>
        <v>0.5905315967139823</v>
      </c>
      <c r="T333" s="179">
        <f t="shared" si="133"/>
        <v>0.9892801469411701</v>
      </c>
      <c r="U333" s="181">
        <f t="shared" si="134"/>
        <v>0.6330411943370079</v>
      </c>
      <c r="V333">
        <f>IF(ISNUMBER('Set-up'!$N$40)=FALSE,"",('Set-up'!$N$40-'EPP model'!U333)^2)</f>
      </c>
    </row>
    <row r="334" spans="1:21" ht="12.75">
      <c r="A334" s="91">
        <f t="shared" si="143"/>
        <v>2013.09999999997</v>
      </c>
      <c r="B334" s="171">
        <f t="shared" si="138"/>
        <v>36.89155821940095</v>
      </c>
      <c r="C334" s="171">
        <f t="shared" si="139"/>
        <v>0.16369697557929683</v>
      </c>
      <c r="D334" s="172">
        <f t="shared" si="140"/>
        <v>0.2360361491910312</v>
      </c>
      <c r="E334" s="171">
        <f t="shared" si="127"/>
        <v>37.29129134417128</v>
      </c>
      <c r="F334" s="171"/>
      <c r="G334" s="171">
        <f t="shared" si="135"/>
        <v>0.11140959745527892</v>
      </c>
      <c r="H334" s="171">
        <f t="shared" si="136"/>
        <v>0.11108804002761177</v>
      </c>
      <c r="I334" s="91">
        <f t="shared" si="124"/>
        <v>0.08078044247670843</v>
      </c>
      <c r="J334" s="91">
        <f t="shared" si="125"/>
        <v>29.745695056150083</v>
      </c>
      <c r="K334" s="172">
        <f t="shared" si="141"/>
        <v>0.042595049015694025</v>
      </c>
      <c r="L334" s="177">
        <f t="shared" si="128"/>
        <v>26.430743641743348</v>
      </c>
      <c r="M334" s="178">
        <f t="shared" si="129"/>
        <v>0.1882761112042254</v>
      </c>
      <c r="N334" s="403">
        <f t="shared" si="137"/>
        <v>0</v>
      </c>
      <c r="O334" s="177">
        <f t="shared" si="142"/>
        <v>0.0030887492780201694</v>
      </c>
      <c r="P334" s="174">
        <f t="shared" si="126"/>
        <v>0.002643074364174335</v>
      </c>
      <c r="Q334" s="179">
        <f t="shared" si="130"/>
        <v>0.00632952468748241</v>
      </c>
      <c r="R334" s="179">
        <f t="shared" si="131"/>
        <v>0.010719208436122106</v>
      </c>
      <c r="S334" s="180">
        <f t="shared" si="132"/>
        <v>0.5904843370852714</v>
      </c>
      <c r="T334" s="179">
        <f t="shared" si="133"/>
        <v>0.9892807915638778</v>
      </c>
      <c r="U334" s="181">
        <f t="shared" si="134"/>
        <v>0.632952468748241</v>
      </c>
    </row>
    <row r="335" spans="1:21" ht="12.75">
      <c r="A335" s="91">
        <f t="shared" si="143"/>
        <v>2013.1999999999698</v>
      </c>
      <c r="B335" s="171">
        <f t="shared" si="138"/>
        <v>36.81435698252022</v>
      </c>
      <c r="C335" s="171">
        <f t="shared" si="139"/>
        <v>0.16338527666110378</v>
      </c>
      <c r="D335" s="172">
        <f t="shared" si="140"/>
        <v>0.23548744539648708</v>
      </c>
      <c r="E335" s="171">
        <f t="shared" si="127"/>
        <v>37.21322970457781</v>
      </c>
      <c r="F335" s="171"/>
      <c r="G335" s="171">
        <f t="shared" si="135"/>
        <v>0.11117638440391148</v>
      </c>
      <c r="H335" s="171">
        <f t="shared" si="136"/>
        <v>0.11085557448793407</v>
      </c>
      <c r="I335" s="91">
        <f t="shared" si="124"/>
        <v>0.08062039139557539</v>
      </c>
      <c r="J335" s="91">
        <f t="shared" si="125"/>
        <v>29.745695056150083</v>
      </c>
      <c r="K335" s="172">
        <f t="shared" si="141"/>
        <v>0.04285870723078323</v>
      </c>
      <c r="L335" s="177">
        <f t="shared" si="128"/>
        <v>26.5878966673981</v>
      </c>
      <c r="M335" s="178">
        <f t="shared" si="129"/>
        <v>0.18823245915293413</v>
      </c>
      <c r="N335" s="403">
        <f t="shared" si="137"/>
        <v>0</v>
      </c>
      <c r="O335" s="177">
        <f t="shared" si="142"/>
        <v>0.0030820229977963063</v>
      </c>
      <c r="P335" s="174">
        <f t="shared" si="126"/>
        <v>0.00265878966673981</v>
      </c>
      <c r="Q335" s="179">
        <f t="shared" si="130"/>
        <v>0.006328057179286388</v>
      </c>
      <c r="R335" s="179">
        <f t="shared" si="131"/>
        <v>0.01071857307801809</v>
      </c>
      <c r="S335" s="180">
        <f t="shared" si="132"/>
        <v>0.590382426207843</v>
      </c>
      <c r="T335" s="179">
        <f t="shared" si="133"/>
        <v>0.989281426921982</v>
      </c>
      <c r="U335" s="181">
        <f t="shared" si="134"/>
        <v>0.6328057179286387</v>
      </c>
    </row>
    <row r="336" spans="1:21" ht="12.75">
      <c r="A336" s="91">
        <f t="shared" si="143"/>
        <v>2013.2999999999697</v>
      </c>
      <c r="B336" s="171">
        <f t="shared" si="138"/>
        <v>36.73730471266925</v>
      </c>
      <c r="C336" s="171">
        <f t="shared" si="139"/>
        <v>0.16309564300159893</v>
      </c>
      <c r="D336" s="172">
        <f t="shared" si="140"/>
        <v>0.23491874049920491</v>
      </c>
      <c r="E336" s="171">
        <f t="shared" si="127"/>
        <v>37.13531909617005</v>
      </c>
      <c r="F336" s="171"/>
      <c r="G336" s="171">
        <f t="shared" si="135"/>
        <v>0.11094362256576284</v>
      </c>
      <c r="H336" s="171">
        <f t="shared" si="136"/>
        <v>0.11062358740943351</v>
      </c>
      <c r="I336" s="91">
        <f t="shared" si="124"/>
        <v>0.08046050245891449</v>
      </c>
      <c r="J336" s="91">
        <f t="shared" si="125"/>
        <v>29.745695056150083</v>
      </c>
      <c r="K336" s="172">
        <f t="shared" si="141"/>
        <v>0.04312010114097497</v>
      </c>
      <c r="L336" s="177">
        <f t="shared" si="128"/>
        <v>26.742338469903324</v>
      </c>
      <c r="M336" s="178">
        <f t="shared" si="129"/>
        <v>0.18817183716040542</v>
      </c>
      <c r="N336" s="403">
        <f t="shared" si="137"/>
        <v>0</v>
      </c>
      <c r="O336" s="177">
        <f t="shared" si="142"/>
        <v>0.003075441241530206</v>
      </c>
      <c r="P336" s="174">
        <f t="shared" si="126"/>
        <v>0.0026742338469903323</v>
      </c>
      <c r="Q336" s="179">
        <f t="shared" si="130"/>
        <v>0.0063260191703437725</v>
      </c>
      <c r="R336" s="179">
        <f t="shared" si="131"/>
        <v>0.010717947043084734</v>
      </c>
      <c r="S336" s="180">
        <f t="shared" si="132"/>
        <v>0.5902267612364578</v>
      </c>
      <c r="T336" s="179">
        <f t="shared" si="133"/>
        <v>0.9892820529569154</v>
      </c>
      <c r="U336" s="181">
        <f t="shared" si="134"/>
        <v>0.6326019170343773</v>
      </c>
    </row>
    <row r="337" spans="1:21" ht="12.75">
      <c r="A337" s="91">
        <f t="shared" si="143"/>
        <v>2013.3999999999696</v>
      </c>
      <c r="B337" s="171">
        <f t="shared" si="138"/>
        <v>36.66040121499777</v>
      </c>
      <c r="C337" s="171">
        <f t="shared" si="139"/>
        <v>0.16282757611441168</v>
      </c>
      <c r="D337" s="172">
        <f t="shared" si="140"/>
        <v>0.23433053050503627</v>
      </c>
      <c r="E337" s="171">
        <f t="shared" si="127"/>
        <v>37.05755932161721</v>
      </c>
      <c r="F337" s="171"/>
      <c r="G337" s="171">
        <f t="shared" si="135"/>
        <v>0.11071131135129751</v>
      </c>
      <c r="H337" s="171">
        <f t="shared" si="136"/>
        <v>0.11039207752685441</v>
      </c>
      <c r="I337" s="91">
        <f t="shared" si="124"/>
        <v>0.08030077703301844</v>
      </c>
      <c r="J337" s="91">
        <f t="shared" si="125"/>
        <v>29.745695056150083</v>
      </c>
      <c r="K337" s="172">
        <f t="shared" si="141"/>
        <v>0.043379147986913696</v>
      </c>
      <c r="L337" s="177">
        <f t="shared" si="128"/>
        <v>26.8940165713168</v>
      </c>
      <c r="M337" s="178">
        <f t="shared" si="129"/>
        <v>0.18809453807397952</v>
      </c>
      <c r="N337" s="403">
        <f t="shared" si="137"/>
        <v>0</v>
      </c>
      <c r="O337" s="177">
        <f t="shared" si="142"/>
        <v>0.003069000677646849</v>
      </c>
      <c r="P337" s="174">
        <f t="shared" si="126"/>
        <v>0.00268940165713168</v>
      </c>
      <c r="Q337" s="179">
        <f t="shared" si="130"/>
        <v>0.006323420505687258</v>
      </c>
      <c r="R337" s="179">
        <f t="shared" si="131"/>
        <v>0.010717330387912762</v>
      </c>
      <c r="S337" s="180">
        <f t="shared" si="132"/>
        <v>0.5900182486507041</v>
      </c>
      <c r="T337" s="179">
        <f t="shared" si="133"/>
        <v>0.9892826696120873</v>
      </c>
      <c r="U337" s="181">
        <f t="shared" si="134"/>
        <v>0.6323420505687258</v>
      </c>
    </row>
    <row r="338" spans="1:21" ht="12.75">
      <c r="A338" s="91">
        <f t="shared" si="143"/>
        <v>2013.4999999999695</v>
      </c>
      <c r="B338" s="171">
        <f t="shared" si="138"/>
        <v>36.58364630206837</v>
      </c>
      <c r="C338" s="171">
        <f t="shared" si="139"/>
        <v>0.1625805778579202</v>
      </c>
      <c r="D338" s="172">
        <f t="shared" si="140"/>
        <v>0.23372331105752464</v>
      </c>
      <c r="E338" s="171">
        <f t="shared" si="127"/>
        <v>36.979950190983814</v>
      </c>
      <c r="F338" s="171"/>
      <c r="G338" s="171">
        <f t="shared" si="135"/>
        <v>0.1104794501930737</v>
      </c>
      <c r="H338" s="171">
        <f t="shared" si="136"/>
        <v>0.11016104359752854</v>
      </c>
      <c r="I338" s="91">
        <f t="shared" si="124"/>
        <v>0.08014121643968451</v>
      </c>
      <c r="J338" s="91">
        <f t="shared" si="125"/>
        <v>29.745695056150083</v>
      </c>
      <c r="K338" s="172">
        <f t="shared" si="141"/>
        <v>0.04363576559940863</v>
      </c>
      <c r="L338" s="177">
        <f t="shared" si="128"/>
        <v>27.043155449094574</v>
      </c>
      <c r="M338" s="178">
        <f t="shared" si="129"/>
        <v>0.18800085728416935</v>
      </c>
      <c r="N338" s="403">
        <f t="shared" si="137"/>
        <v>0</v>
      </c>
      <c r="O338" s="177">
        <f t="shared" si="142"/>
        <v>0.0030626977714946005</v>
      </c>
      <c r="P338" s="174">
        <f t="shared" si="126"/>
        <v>0.0027043155449094575</v>
      </c>
      <c r="Q338" s="179">
        <f t="shared" si="130"/>
        <v>0.006320271115846699</v>
      </c>
      <c r="R338" s="179">
        <f t="shared" si="131"/>
        <v>0.01071672316670856</v>
      </c>
      <c r="S338" s="180">
        <f t="shared" si="132"/>
        <v>0.5897578035308951</v>
      </c>
      <c r="T338" s="179">
        <f t="shared" si="133"/>
        <v>0.9892832768332913</v>
      </c>
      <c r="U338" s="181">
        <f t="shared" si="134"/>
        <v>0.63202711158467</v>
      </c>
    </row>
    <row r="339" spans="1:21" ht="12.75">
      <c r="A339" s="91">
        <f t="shared" si="143"/>
        <v>2013.5999999999694</v>
      </c>
      <c r="B339" s="171">
        <f t="shared" si="138"/>
        <v>36.5070397937663</v>
      </c>
      <c r="C339" s="171">
        <f t="shared" si="139"/>
        <v>0.1623541507403257</v>
      </c>
      <c r="D339" s="172">
        <f t="shared" si="140"/>
        <v>0.2330975495569643</v>
      </c>
      <c r="E339" s="171">
        <f t="shared" si="127"/>
        <v>36.9024914940636</v>
      </c>
      <c r="F339" s="171"/>
      <c r="G339" s="171">
        <f t="shared" si="135"/>
        <v>0.11024803846308971</v>
      </c>
      <c r="H339" s="171">
        <f t="shared" si="136"/>
        <v>0.10993048435670412</v>
      </c>
      <c r="I339" s="91">
        <f t="shared" si="124"/>
        <v>0.07998182206117334</v>
      </c>
      <c r="J339" s="91">
        <f t="shared" si="125"/>
        <v>29.745695056150083</v>
      </c>
      <c r="K339" s="172">
        <f t="shared" si="141"/>
        <v>0.04388987262838218</v>
      </c>
      <c r="L339" s="177">
        <f t="shared" si="128"/>
        <v>27.189400739901213</v>
      </c>
      <c r="M339" s="178">
        <f t="shared" si="129"/>
        <v>0.187891070405712</v>
      </c>
      <c r="N339" s="403">
        <f t="shared" si="137"/>
        <v>0</v>
      </c>
      <c r="O339" s="177">
        <f t="shared" si="142"/>
        <v>0.0030565288015044646</v>
      </c>
      <c r="P339" s="174">
        <f t="shared" si="126"/>
        <v>0.0027189400739901213</v>
      </c>
      <c r="Q339" s="179">
        <f t="shared" si="130"/>
        <v>0.006316580266523795</v>
      </c>
      <c r="R339" s="179">
        <f t="shared" si="131"/>
        <v>0.010716124692038888</v>
      </c>
      <c r="S339" s="180">
        <f t="shared" si="132"/>
        <v>0.5894463201997306</v>
      </c>
      <c r="T339" s="179">
        <f t="shared" si="133"/>
        <v>0.989283875307961</v>
      </c>
      <c r="U339" s="181">
        <f t="shared" si="134"/>
        <v>0.6316580266523795</v>
      </c>
    </row>
    <row r="340" spans="1:21" ht="12.75">
      <c r="A340" s="91">
        <f t="shared" si="143"/>
        <v>2013.6999999999694</v>
      </c>
      <c r="B340" s="171">
        <f t="shared" si="138"/>
        <v>36.430581492208326</v>
      </c>
      <c r="C340" s="171">
        <f t="shared" si="139"/>
        <v>0.16214782346336598</v>
      </c>
      <c r="D340" s="172">
        <f t="shared" si="140"/>
        <v>0.23245374263329194</v>
      </c>
      <c r="E340" s="171">
        <f t="shared" si="127"/>
        <v>36.82518305830498</v>
      </c>
      <c r="F340" s="171"/>
      <c r="G340" s="171">
        <f t="shared" si="135"/>
        <v>0.11001707564583905</v>
      </c>
      <c r="H340" s="171">
        <f t="shared" si="136"/>
        <v>0.1097003986123044</v>
      </c>
      <c r="I340" s="91">
        <f t="shared" si="124"/>
        <v>0.07982259523622184</v>
      </c>
      <c r="J340" s="91">
        <f t="shared" si="125"/>
        <v>29.745695056150083</v>
      </c>
      <c r="K340" s="172">
        <f t="shared" si="141"/>
        <v>0.044141700519721</v>
      </c>
      <c r="L340" s="177">
        <f t="shared" si="128"/>
        <v>27.33271573524446</v>
      </c>
      <c r="M340" s="178">
        <f t="shared" si="129"/>
        <v>0.18776547918534534</v>
      </c>
      <c r="N340" s="403">
        <f t="shared" si="137"/>
        <v>0</v>
      </c>
      <c r="O340" s="177">
        <f t="shared" si="142"/>
        <v>0.0030504895167410115</v>
      </c>
      <c r="P340" s="174">
        <f t="shared" si="126"/>
        <v>0.002733271573524446</v>
      </c>
      <c r="Q340" s="179">
        <f t="shared" si="130"/>
        <v>0.006312358101933941</v>
      </c>
      <c r="R340" s="179">
        <f t="shared" si="131"/>
        <v>0.010715535764530723</v>
      </c>
      <c r="S340" s="180">
        <f t="shared" si="132"/>
        <v>0.5890846935370556</v>
      </c>
      <c r="T340" s="179">
        <f t="shared" si="133"/>
        <v>0.9892844642354693</v>
      </c>
      <c r="U340" s="181">
        <f t="shared" si="134"/>
        <v>0.6312358101933941</v>
      </c>
    </row>
    <row r="341" spans="1:21" ht="12.75">
      <c r="A341" s="91">
        <f t="shared" si="143"/>
        <v>2013.7999999999693</v>
      </c>
      <c r="B341" s="171">
        <f t="shared" si="138"/>
        <v>36.35427123171485</v>
      </c>
      <c r="C341" s="171">
        <f t="shared" si="139"/>
        <v>0.16196110019576915</v>
      </c>
      <c r="D341" s="172">
        <f t="shared" si="140"/>
        <v>0.23179238496917315</v>
      </c>
      <c r="E341" s="171">
        <f t="shared" si="127"/>
        <v>36.74802471687979</v>
      </c>
      <c r="F341" s="171"/>
      <c r="G341" s="171">
        <f t="shared" si="135"/>
        <v>0.10978656124291425</v>
      </c>
      <c r="H341" s="171">
        <f t="shared" si="136"/>
        <v>0.10947078519200433</v>
      </c>
      <c r="I341" s="91">
        <f t="shared" si="124"/>
        <v>0.07966353729536746</v>
      </c>
      <c r="J341" s="91">
        <f t="shared" si="125"/>
        <v>29.745695056150083</v>
      </c>
      <c r="K341" s="172">
        <f t="shared" si="141"/>
        <v>0.044390856126410576</v>
      </c>
      <c r="L341" s="177">
        <f t="shared" si="128"/>
        <v>27.47306275597562</v>
      </c>
      <c r="M341" s="178">
        <f t="shared" si="129"/>
        <v>0.18762438669155762</v>
      </c>
      <c r="N341" s="403">
        <f t="shared" si="137"/>
        <v>0</v>
      </c>
      <c r="O341" s="177">
        <f t="shared" si="142"/>
        <v>0.0030445763771459696</v>
      </c>
      <c r="P341" s="174">
        <f t="shared" si="126"/>
        <v>0.002747306275597562</v>
      </c>
      <c r="Q341" s="179">
        <f t="shared" si="130"/>
        <v>0.006307614810727552</v>
      </c>
      <c r="R341" s="179">
        <f t="shared" si="131"/>
        <v>0.010714956469050052</v>
      </c>
      <c r="S341" s="180">
        <f t="shared" si="132"/>
        <v>0.5886738624601022</v>
      </c>
      <c r="T341" s="179">
        <f t="shared" si="133"/>
        <v>0.9892850435309499</v>
      </c>
      <c r="U341" s="181">
        <f t="shared" si="134"/>
        <v>0.6307614810727552</v>
      </c>
    </row>
    <row r="342" spans="1:21" ht="12.75">
      <c r="A342" s="91">
        <f t="shared" si="143"/>
        <v>2013.8999999999692</v>
      </c>
      <c r="B342" s="171">
        <f t="shared" si="138"/>
        <v>36.278108854697805</v>
      </c>
      <c r="C342" s="171">
        <f t="shared" si="139"/>
        <v>0.16179348527907908</v>
      </c>
      <c r="D342" s="172">
        <f t="shared" si="140"/>
        <v>0.2311139687717672</v>
      </c>
      <c r="E342" s="171">
        <f t="shared" si="127"/>
        <v>36.67101630874865</v>
      </c>
      <c r="F342" s="171"/>
      <c r="G342" s="171">
        <f t="shared" si="135"/>
        <v>0.10955649477320205</v>
      </c>
      <c r="H342" s="171">
        <f t="shared" si="136"/>
        <v>0.10924164294414579</v>
      </c>
      <c r="I342" s="91">
        <f t="shared" si="124"/>
        <v>0.07950464956146099</v>
      </c>
      <c r="J342" s="91">
        <f t="shared" si="125"/>
        <v>29.745695056150083</v>
      </c>
      <c r="K342" s="172">
        <f t="shared" si="141"/>
        <v>0.04463724466355902</v>
      </c>
      <c r="L342" s="177">
        <f t="shared" si="128"/>
        <v>27.610401425983145</v>
      </c>
      <c r="M342" s="178">
        <f t="shared" si="129"/>
        <v>0.1874680968866818</v>
      </c>
      <c r="N342" s="403">
        <f t="shared" si="137"/>
        <v>0</v>
      </c>
      <c r="O342" s="177">
        <f t="shared" si="142"/>
        <v>0.00303878520921211</v>
      </c>
      <c r="P342" s="174">
        <f t="shared" si="126"/>
        <v>0.0027610401425983144</v>
      </c>
      <c r="Q342" s="179">
        <f t="shared" si="130"/>
        <v>0.006302360611604595</v>
      </c>
      <c r="R342" s="179">
        <f t="shared" si="131"/>
        <v>0.010714386826446091</v>
      </c>
      <c r="S342" s="180">
        <f t="shared" si="132"/>
        <v>0.588214772687562</v>
      </c>
      <c r="T342" s="179">
        <f t="shared" si="133"/>
        <v>0.989285613173554</v>
      </c>
      <c r="U342" s="181">
        <f t="shared" si="134"/>
        <v>0.6302360611604595</v>
      </c>
    </row>
    <row r="343" spans="1:22" ht="12.75">
      <c r="A343" s="91">
        <f t="shared" si="143"/>
        <v>2013.999999999969</v>
      </c>
      <c r="B343" s="171">
        <f t="shared" si="138"/>
        <v>36.20209420940692</v>
      </c>
      <c r="C343" s="171">
        <f t="shared" si="139"/>
        <v>0.16164448560166014</v>
      </c>
      <c r="D343" s="172">
        <f t="shared" si="140"/>
        <v>0.23041898389074253</v>
      </c>
      <c r="E343" s="171">
        <f t="shared" si="127"/>
        <v>36.59415767889933</v>
      </c>
      <c r="F343" s="171"/>
      <c r="G343" s="171">
        <f t="shared" si="135"/>
        <v>0.1093268757735957</v>
      </c>
      <c r="H343" s="171">
        <f t="shared" si="136"/>
        <v>0.10901297073828851</v>
      </c>
      <c r="I343" s="91">
        <f t="shared" si="124"/>
        <v>0.07934593335015809</v>
      </c>
      <c r="J343" s="91">
        <f t="shared" si="125"/>
        <v>29.745695056150083</v>
      </c>
      <c r="K343" s="172">
        <f t="shared" si="141"/>
        <v>0.044880798496421515</v>
      </c>
      <c r="L343" s="177">
        <f t="shared" si="128"/>
        <v>27.7446906920946</v>
      </c>
      <c r="M343" s="178">
        <f t="shared" si="129"/>
        <v>0.18729691471800364</v>
      </c>
      <c r="N343" s="403">
        <f t="shared" si="137"/>
        <v>0</v>
      </c>
      <c r="O343" s="177">
        <f t="shared" si="142"/>
        <v>0.003033111677393233</v>
      </c>
      <c r="P343" s="174">
        <f t="shared" si="126"/>
        <v>0.00277446906920946</v>
      </c>
      <c r="Q343" s="179">
        <f t="shared" si="130"/>
        <v>0.006296605756377476</v>
      </c>
      <c r="R343" s="179">
        <f t="shared" si="131"/>
        <v>0.010713826860905494</v>
      </c>
      <c r="S343" s="180">
        <f t="shared" si="132"/>
        <v>0.5877083733127744</v>
      </c>
      <c r="T343" s="179">
        <f t="shared" si="133"/>
        <v>0.9892861731390944</v>
      </c>
      <c r="U343" s="181">
        <f t="shared" si="134"/>
        <v>0.6296605756377476</v>
      </c>
      <c r="V343">
        <f>IF(ISNUMBER('Set-up'!$N$41)=FALSE,"",('Set-up'!$N$41-'EPP model'!U343)^2)</f>
      </c>
    </row>
    <row r="344" spans="1:22" ht="12.75">
      <c r="A344" s="91">
        <f t="shared" si="143"/>
        <v>2014.099999999969</v>
      </c>
      <c r="B344" s="171">
        <f t="shared" si="138"/>
        <v>36.12622715127526</v>
      </c>
      <c r="C344" s="171">
        <f t="shared" si="139"/>
        <v>0.16151361070550213</v>
      </c>
      <c r="D344" s="172">
        <f t="shared" si="140"/>
        <v>0.22970791779314131</v>
      </c>
      <c r="E344" s="171">
        <f t="shared" si="127"/>
        <v>36.517448679773906</v>
      </c>
      <c r="F344" s="171"/>
      <c r="G344" s="171">
        <f t="shared" si="135"/>
        <v>0.10909770380325855</v>
      </c>
      <c r="H344" s="171">
        <f t="shared" si="136"/>
        <v>0.10878476746950844</v>
      </c>
      <c r="I344" s="91">
        <f t="shared" si="124"/>
        <v>0.0791873913618776</v>
      </c>
      <c r="J344" s="91">
        <f t="shared" si="125"/>
        <v>29.745695056150083</v>
      </c>
      <c r="K344" s="172">
        <f t="shared" si="141"/>
        <v>0.045121448865569895</v>
      </c>
      <c r="L344" s="177">
        <f t="shared" si="128"/>
        <v>27.875890199272387</v>
      </c>
      <c r="M344" s="178">
        <f t="shared" si="129"/>
        <v>0.18711114608733606</v>
      </c>
      <c r="N344" s="403">
        <f t="shared" si="137"/>
        <v>0</v>
      </c>
      <c r="O344" s="177">
        <f t="shared" si="142"/>
        <v>0.003027551343436971</v>
      </c>
      <c r="P344" s="174">
        <f t="shared" si="126"/>
        <v>0.0027875890199272387</v>
      </c>
      <c r="Q344" s="179">
        <f t="shared" si="130"/>
        <v>0.0062903605289481995</v>
      </c>
      <c r="R344" s="179">
        <f t="shared" si="131"/>
        <v>0.010713276601805185</v>
      </c>
      <c r="S344" s="180">
        <f t="shared" si="132"/>
        <v>0.5871556166008329</v>
      </c>
      <c r="T344" s="179">
        <f t="shared" si="133"/>
        <v>0.9892867233981947</v>
      </c>
      <c r="U344" s="181">
        <f t="shared" si="134"/>
        <v>0.62903605289482</v>
      </c>
      <c r="V344">
        <f>IF(ISNUMBER('Set-up'!C399)=FALSE,"",('Set-up'!C399-'EPP model'!U344)^2)</f>
      </c>
    </row>
    <row r="345" spans="1:22" ht="12.75">
      <c r="A345" s="91">
        <f t="shared" si="143"/>
        <v>2014.199999999969</v>
      </c>
      <c r="B345" s="171">
        <f t="shared" si="138"/>
        <v>36.05050754037172</v>
      </c>
      <c r="C345" s="171">
        <f t="shared" si="139"/>
        <v>0.16140037262892487</v>
      </c>
      <c r="D345" s="172">
        <f t="shared" si="140"/>
        <v>0.2289812554152257</v>
      </c>
      <c r="E345" s="171">
        <f t="shared" si="127"/>
        <v>36.44088916841587</v>
      </c>
      <c r="F345" s="171"/>
      <c r="G345" s="171">
        <f t="shared" si="135"/>
        <v>0.10886897843510085</v>
      </c>
      <c r="H345" s="171">
        <f t="shared" si="136"/>
        <v>0.10855703205007605</v>
      </c>
      <c r="I345" s="91">
        <f aca="true" t="shared" si="144" ref="I345:I408">H195*l</f>
        <v>0.0790290235450627</v>
      </c>
      <c r="J345" s="91">
        <f t="shared" si="125"/>
        <v>29.745695056150083</v>
      </c>
      <c r="K345" s="172">
        <f t="shared" si="141"/>
        <v>0.04535912507705658</v>
      </c>
      <c r="L345" s="177">
        <f t="shared" si="128"/>
        <v>28.003960510749526</v>
      </c>
      <c r="M345" s="178">
        <f t="shared" si="129"/>
        <v>0.1869110977417956</v>
      </c>
      <c r="N345" s="403">
        <f t="shared" si="137"/>
        <v>0</v>
      </c>
      <c r="O345" s="177">
        <f t="shared" si="142"/>
        <v>0.003022099680781034</v>
      </c>
      <c r="P345" s="174">
        <f t="shared" si="126"/>
        <v>0.0028003960510749526</v>
      </c>
      <c r="Q345" s="179">
        <f t="shared" si="130"/>
        <v>0.006283635241636443</v>
      </c>
      <c r="R345" s="179">
        <f t="shared" si="131"/>
        <v>0.010712736076223492</v>
      </c>
      <c r="S345" s="180">
        <f t="shared" si="132"/>
        <v>0.5865574580505845</v>
      </c>
      <c r="T345" s="179">
        <f t="shared" si="133"/>
        <v>0.9892872639237764</v>
      </c>
      <c r="U345" s="181">
        <f t="shared" si="134"/>
        <v>0.6283635241636443</v>
      </c>
      <c r="V345">
        <f>IF(ISNUMBER('Set-up'!C400)=FALSE,"",('Set-up'!C400-'EPP model'!U345)^2)</f>
      </c>
    </row>
    <row r="346" spans="1:22" ht="12.75">
      <c r="A346" s="91">
        <f t="shared" si="143"/>
        <v>2014.2999999999688</v>
      </c>
      <c r="B346" s="171">
        <f t="shared" si="138"/>
        <v>35.97493524252041</v>
      </c>
      <c r="C346" s="171">
        <f t="shared" si="139"/>
        <v>0.16130428618180254</v>
      </c>
      <c r="D346" s="172">
        <f t="shared" si="140"/>
        <v>0.22823947900077796</v>
      </c>
      <c r="E346" s="171">
        <f t="shared" si="127"/>
        <v>36.36447900770299</v>
      </c>
      <c r="F346" s="171"/>
      <c r="G346" s="171">
        <f t="shared" si="135"/>
        <v>0.10864069925946307</v>
      </c>
      <c r="H346" s="171">
        <f t="shared" si="136"/>
        <v>0.10832976341336019</v>
      </c>
      <c r="I346" s="91">
        <f t="shared" si="144"/>
        <v>0.07887083119213269</v>
      </c>
      <c r="J346" s="91">
        <f t="shared" si="125"/>
        <v>29.745695056150083</v>
      </c>
      <c r="K346" s="172">
        <f t="shared" si="141"/>
        <v>0.045593757733747714</v>
      </c>
      <c r="L346" s="177">
        <f t="shared" si="128"/>
        <v>28.128863601152812</v>
      </c>
      <c r="M346" s="178">
        <f t="shared" si="129"/>
        <v>0.1866970771310538</v>
      </c>
      <c r="N346" s="403">
        <f t="shared" si="137"/>
        <v>0</v>
      </c>
      <c r="O346" s="177">
        <f t="shared" si="142"/>
        <v>0.003016752082400721</v>
      </c>
      <c r="P346" s="174">
        <f t="shared" si="126"/>
        <v>0.002812886360115281</v>
      </c>
      <c r="Q346" s="179">
        <f t="shared" si="130"/>
        <v>0.006276440230380603</v>
      </c>
      <c r="R346" s="179">
        <f t="shared" si="131"/>
        <v>0.010712205311674189</v>
      </c>
      <c r="S346" s="180">
        <f t="shared" si="132"/>
        <v>0.5859148557898272</v>
      </c>
      <c r="T346" s="179">
        <f t="shared" si="133"/>
        <v>0.9892877946883258</v>
      </c>
      <c r="U346" s="181">
        <f t="shared" si="134"/>
        <v>0.6276440230380603</v>
      </c>
      <c r="V346">
        <f>IF(ISNUMBER('Set-up'!C401)=FALSE,"",('Set-up'!C401-'EPP model'!U346)^2)</f>
      </c>
    </row>
    <row r="347" spans="1:22" ht="12.75">
      <c r="A347" s="91">
        <f t="shared" si="143"/>
        <v>2014.3999999999687</v>
      </c>
      <c r="B347" s="171">
        <f t="shared" si="138"/>
        <v>35.899510129224105</v>
      </c>
      <c r="C347" s="171">
        <f t="shared" si="139"/>
        <v>0.16122486905368028</v>
      </c>
      <c r="D347" s="172">
        <f t="shared" si="140"/>
        <v>0.22748306790584127</v>
      </c>
      <c r="E347" s="171">
        <f t="shared" si="127"/>
        <v>36.28821806618363</v>
      </c>
      <c r="F347" s="171"/>
      <c r="G347" s="171">
        <f t="shared" si="135"/>
        <v>0.10841286588362692</v>
      </c>
      <c r="H347" s="171">
        <f t="shared" si="136"/>
        <v>0.10810296051360482</v>
      </c>
      <c r="I347" s="91">
        <f t="shared" si="144"/>
        <v>0.07871281559740115</v>
      </c>
      <c r="J347" s="91">
        <f t="shared" si="125"/>
        <v>29.745695056150083</v>
      </c>
      <c r="K347" s="172">
        <f t="shared" si="141"/>
        <v>0.04582527759461482</v>
      </c>
      <c r="L347" s="177">
        <f t="shared" si="128"/>
        <v>28.25056307437747</v>
      </c>
      <c r="M347" s="178">
        <f t="shared" si="129"/>
        <v>0.1864693922425018</v>
      </c>
      <c r="N347" s="403">
        <f t="shared" si="137"/>
        <v>0</v>
      </c>
      <c r="O347" s="177">
        <f t="shared" si="142"/>
        <v>0.0030115038758853564</v>
      </c>
      <c r="P347" s="174">
        <f t="shared" si="126"/>
        <v>0.002825056307437747</v>
      </c>
      <c r="Q347" s="179">
        <f t="shared" si="130"/>
        <v>0.006268785849196295</v>
      </c>
      <c r="R347" s="179">
        <f t="shared" si="131"/>
        <v>0.010711684333757679</v>
      </c>
      <c r="S347" s="180">
        <f t="shared" si="132"/>
        <v>0.5852287701795253</v>
      </c>
      <c r="T347" s="179">
        <f t="shared" si="133"/>
        <v>0.9892883156662422</v>
      </c>
      <c r="U347" s="181">
        <f t="shared" si="134"/>
        <v>0.6268785849196294</v>
      </c>
      <c r="V347">
        <f>IF(ISNUMBER('Set-up'!C402)=FALSE,"",('Set-up'!C402-'EPP model'!U347)^2)</f>
      </c>
    </row>
    <row r="348" spans="1:22" ht="12.75">
      <c r="A348" s="91">
        <f t="shared" si="143"/>
        <v>2014.4999999999686</v>
      </c>
      <c r="B348" s="171">
        <f t="shared" si="138"/>
        <v>35.82423207749859</v>
      </c>
      <c r="C348" s="171">
        <f t="shared" si="139"/>
        <v>0.16116164199260646</v>
      </c>
      <c r="D348" s="172">
        <f t="shared" si="140"/>
        <v>0.2267124983937337</v>
      </c>
      <c r="E348" s="171">
        <f t="shared" si="127"/>
        <v>36.21210621788493</v>
      </c>
      <c r="F348" s="171"/>
      <c r="G348" s="171">
        <f t="shared" si="135"/>
        <v>0.10818547793124214</v>
      </c>
      <c r="H348" s="171">
        <f t="shared" si="136"/>
        <v>0.1078766223256354</v>
      </c>
      <c r="I348" s="91">
        <f t="shared" si="144"/>
        <v>0.07855497804999544</v>
      </c>
      <c r="J348" s="91">
        <f t="shared" si="125"/>
        <v>29.745695056150083</v>
      </c>
      <c r="K348" s="172">
        <f t="shared" si="141"/>
        <v>0.04605361663158708</v>
      </c>
      <c r="L348" s="177">
        <f t="shared" si="128"/>
        <v>28.369024313807074</v>
      </c>
      <c r="M348" s="178">
        <f t="shared" si="129"/>
        <v>0.18622835142649719</v>
      </c>
      <c r="N348" s="403">
        <f t="shared" si="137"/>
        <v>0</v>
      </c>
      <c r="O348" s="177">
        <f t="shared" si="142"/>
        <v>0.00300635033468167</v>
      </c>
      <c r="P348" s="174">
        <f t="shared" si="126"/>
        <v>0.0028369024313807073</v>
      </c>
      <c r="Q348" s="179">
        <f t="shared" si="130"/>
        <v>0.006260682464301451</v>
      </c>
      <c r="R348" s="179">
        <f t="shared" si="131"/>
        <v>0.01071117316547502</v>
      </c>
      <c r="S348" s="180">
        <f t="shared" si="132"/>
        <v>0.5845001632950261</v>
      </c>
      <c r="T348" s="179">
        <f t="shared" si="133"/>
        <v>0.989288826834525</v>
      </c>
      <c r="U348" s="181">
        <f t="shared" si="134"/>
        <v>0.626068246430145</v>
      </c>
      <c r="V348">
        <f>IF(ISNUMBER('Set-up'!C403)=FALSE,"",('Set-up'!C403-'EPP model'!U348)^2)</f>
      </c>
    </row>
    <row r="349" spans="1:22" ht="12.75">
      <c r="A349" s="91">
        <f t="shared" si="143"/>
        <v>2014.5999999999685</v>
      </c>
      <c r="B349" s="171">
        <f t="shared" si="138"/>
        <v>35.74910096963744</v>
      </c>
      <c r="C349" s="171">
        <f t="shared" si="139"/>
        <v>0.16111412899557284</v>
      </c>
      <c r="D349" s="172">
        <f t="shared" si="140"/>
        <v>0.2259282434279508</v>
      </c>
      <c r="E349" s="171">
        <f t="shared" si="127"/>
        <v>36.13614334206096</v>
      </c>
      <c r="F349" s="171"/>
      <c r="G349" s="171">
        <f t="shared" si="135"/>
        <v>0.10795853504157425</v>
      </c>
      <c r="H349" s="171">
        <f t="shared" si="136"/>
        <v>0.1076507478443884</v>
      </c>
      <c r="I349" s="91">
        <f t="shared" si="144"/>
        <v>0.07839731978805421</v>
      </c>
      <c r="J349" s="91">
        <f t="shared" si="125"/>
        <v>29.745695056150083</v>
      </c>
      <c r="K349" s="172">
        <f t="shared" si="141"/>
        <v>0.046278708382297154</v>
      </c>
      <c r="L349" s="177">
        <f t="shared" si="128"/>
        <v>28.48445938538573</v>
      </c>
      <c r="M349" s="178">
        <f t="shared" si="129"/>
        <v>0.18597426321799018</v>
      </c>
      <c r="N349" s="403">
        <f t="shared" si="137"/>
        <v>0</v>
      </c>
      <c r="O349" s="177">
        <f t="shared" si="142"/>
        <v>0.0030012866901470443</v>
      </c>
      <c r="P349" s="174">
        <f t="shared" si="126"/>
        <v>0.002848445938538573</v>
      </c>
      <c r="Q349" s="179">
        <f t="shared" si="130"/>
        <v>0.006252140448119702</v>
      </c>
      <c r="R349" s="179">
        <f t="shared" si="131"/>
        <v>0.010710671826813971</v>
      </c>
      <c r="S349" s="180">
        <f t="shared" si="132"/>
        <v>0.5837299983804547</v>
      </c>
      <c r="T349" s="179">
        <f t="shared" si="133"/>
        <v>0.989289328173186</v>
      </c>
      <c r="U349" s="181">
        <f t="shared" si="134"/>
        <v>0.6252140448119702</v>
      </c>
      <c r="V349">
        <f>IF(ISNUMBER('Set-up'!C404)=FALSE,"",('Set-up'!C404-'EPP model'!U349)^2)</f>
      </c>
    </row>
    <row r="350" spans="1:22" ht="12.75">
      <c r="A350" s="91">
        <f t="shared" si="143"/>
        <v>2014.6999999999684</v>
      </c>
      <c r="B350" s="171">
        <f t="shared" si="138"/>
        <v>35.67411669309387</v>
      </c>
      <c r="C350" s="171">
        <f t="shared" si="139"/>
        <v>0.16108185750999357</v>
      </c>
      <c r="D350" s="172">
        <f t="shared" si="140"/>
        <v>0.2251307479874743</v>
      </c>
      <c r="E350" s="171">
        <f t="shared" si="127"/>
        <v>36.060329298591334</v>
      </c>
      <c r="F350" s="171"/>
      <c r="G350" s="171">
        <f t="shared" si="135"/>
        <v>0.10773203679600657</v>
      </c>
      <c r="H350" s="171">
        <f t="shared" si="136"/>
        <v>0.10742533604504219</v>
      </c>
      <c r="I350" s="91">
        <f t="shared" si="144"/>
        <v>0.0782398421384948</v>
      </c>
      <c r="J350" s="91">
        <f t="shared" si="125"/>
        <v>29.745695056150083</v>
      </c>
      <c r="K350" s="172">
        <f t="shared" si="141"/>
        <v>0.04650048818826518</v>
      </c>
      <c r="L350" s="177">
        <f t="shared" si="128"/>
        <v>28.596558838582514</v>
      </c>
      <c r="M350" s="178">
        <f t="shared" si="129"/>
        <v>0.18570741609006838</v>
      </c>
      <c r="N350" s="403">
        <f t="shared" si="137"/>
        <v>0</v>
      </c>
      <c r="O350" s="177">
        <f t="shared" si="142"/>
        <v>0.002996308143395989</v>
      </c>
      <c r="P350" s="174">
        <f t="shared" si="126"/>
        <v>0.0028596558838582514</v>
      </c>
      <c r="Q350" s="179">
        <f t="shared" si="130"/>
        <v>0.006243169498628755</v>
      </c>
      <c r="R350" s="179">
        <f t="shared" si="131"/>
        <v>0.01071017966307243</v>
      </c>
      <c r="S350" s="180">
        <f t="shared" si="132"/>
        <v>0.5829192128451911</v>
      </c>
      <c r="T350" s="179">
        <f t="shared" si="133"/>
        <v>0.9892898203369277</v>
      </c>
      <c r="U350" s="181">
        <f t="shared" si="134"/>
        <v>0.6243169498628756</v>
      </c>
      <c r="V350">
        <f>IF(ISNUMBER('Set-up'!C405)=FALSE,"",('Set-up'!C405-'EPP model'!U350)^2)</f>
      </c>
    </row>
    <row r="351" spans="1:22" ht="12.75">
      <c r="A351" s="91">
        <f t="shared" si="143"/>
        <v>2014.7999999999683</v>
      </c>
      <c r="B351" s="171">
        <f t="shared" si="138"/>
        <v>35.59927911687001</v>
      </c>
      <c r="C351" s="171">
        <f t="shared" si="139"/>
        <v>0.16106438230022188</v>
      </c>
      <c r="D351" s="172">
        <f t="shared" si="140"/>
        <v>0.22432048099368998</v>
      </c>
      <c r="E351" s="171">
        <f t="shared" si="127"/>
        <v>35.98466398016392</v>
      </c>
      <c r="F351" s="171"/>
      <c r="G351" s="171">
        <f t="shared" si="135"/>
        <v>0.10750598287393874</v>
      </c>
      <c r="H351" s="171">
        <f t="shared" si="136"/>
        <v>0.10720038596817408</v>
      </c>
      <c r="I351" s="91">
        <f t="shared" si="144"/>
        <v>0.07808254637819376</v>
      </c>
      <c r="J351" s="91">
        <f t="shared" si="125"/>
        <v>29.745695056150083</v>
      </c>
      <c r="K351" s="172">
        <f t="shared" si="141"/>
        <v>0.04671919239447597</v>
      </c>
      <c r="L351" s="177">
        <f t="shared" si="128"/>
        <v>28.70530712988563</v>
      </c>
      <c r="M351" s="178">
        <f t="shared" si="129"/>
        <v>0.1854281208840905</v>
      </c>
      <c r="N351" s="403">
        <f t="shared" si="137"/>
        <v>0</v>
      </c>
      <c r="O351" s="177">
        <f t="shared" si="142"/>
        <v>0.0029914095537169486</v>
      </c>
      <c r="P351" s="174">
        <f t="shared" si="126"/>
        <v>0.0028705307129885628</v>
      </c>
      <c r="Q351" s="179">
        <f t="shared" si="130"/>
        <v>0.006233780065789797</v>
      </c>
      <c r="R351" s="179">
        <f t="shared" si="131"/>
        <v>0.01070969742850316</v>
      </c>
      <c r="S351" s="180">
        <f t="shared" si="132"/>
        <v>0.5820687379270864</v>
      </c>
      <c r="T351" s="179">
        <f t="shared" si="133"/>
        <v>0.9892903025714967</v>
      </c>
      <c r="U351" s="181">
        <f t="shared" si="134"/>
        <v>0.6233780065789797</v>
      </c>
      <c r="V351">
        <f>IF(ISNUMBER('Set-up'!C406)=FALSE,"",('Set-up'!C406-'EPP model'!U351)^2)</f>
      </c>
    </row>
    <row r="352" spans="1:22" ht="12.75">
      <c r="A352" s="91">
        <f t="shared" si="143"/>
        <v>2014.8999999999683</v>
      </c>
      <c r="B352" s="171">
        <f t="shared" si="138"/>
        <v>35.52458814040143</v>
      </c>
      <c r="C352" s="171">
        <f t="shared" si="139"/>
        <v>0.16106123572798833</v>
      </c>
      <c r="D352" s="172">
        <f t="shared" si="140"/>
        <v>0.2234979066142331</v>
      </c>
      <c r="E352" s="171">
        <f t="shared" si="127"/>
        <v>35.909147282743646</v>
      </c>
      <c r="F352" s="171"/>
      <c r="G352" s="171">
        <f t="shared" si="135"/>
        <v>0.10728037296456079</v>
      </c>
      <c r="H352" s="171">
        <f t="shared" si="136"/>
        <v>0.10697589667062796</v>
      </c>
      <c r="I352" s="91">
        <f t="shared" si="144"/>
        <v>0.07792543378084849</v>
      </c>
      <c r="J352" s="91">
        <f t="shared" si="125"/>
        <v>29.745695056150083</v>
      </c>
      <c r="K352" s="172">
        <f t="shared" si="141"/>
        <v>0.04693443291104776</v>
      </c>
      <c r="L352" s="177">
        <f t="shared" si="128"/>
        <v>28.810687883901828</v>
      </c>
      <c r="M352" s="178">
        <f t="shared" si="129"/>
        <v>0.18513668741528905</v>
      </c>
      <c r="N352" s="403">
        <f t="shared" si="137"/>
        <v>0</v>
      </c>
      <c r="O352" s="177">
        <f t="shared" si="142"/>
        <v>0.002986586575128691</v>
      </c>
      <c r="P352" s="174">
        <f t="shared" si="126"/>
        <v>0.0028810687883901826</v>
      </c>
      <c r="Q352" s="179">
        <f t="shared" si="130"/>
        <v>0.0062239825650673795</v>
      </c>
      <c r="R352" s="179">
        <f t="shared" si="131"/>
        <v>0.010709225126240288</v>
      </c>
      <c r="S352" s="180">
        <f t="shared" si="132"/>
        <v>0.5811795430294074</v>
      </c>
      <c r="T352" s="179">
        <f t="shared" si="133"/>
        <v>0.9892907748737598</v>
      </c>
      <c r="U352" s="181">
        <f t="shared" si="134"/>
        <v>0.622398256506738</v>
      </c>
      <c r="V352">
        <f>IF(ISNUMBER('Set-up'!C407)=FALSE,"",('Set-up'!C407-'EPP model'!U352)^2)</f>
      </c>
    </row>
    <row r="353" spans="1:22" ht="12.75">
      <c r="A353" s="91">
        <f t="shared" si="143"/>
        <v>2014.9999999999682</v>
      </c>
      <c r="B353" s="171">
        <f t="shared" si="138"/>
        <v>35.45004366734816</v>
      </c>
      <c r="C353" s="171">
        <f t="shared" si="139"/>
        <v>0.16107195442136868</v>
      </c>
      <c r="D353" s="172">
        <f t="shared" si="140"/>
        <v>0.22266348386978718</v>
      </c>
      <c r="E353" s="171">
        <f t="shared" si="127"/>
        <v>35.833779105639316</v>
      </c>
      <c r="F353" s="171"/>
      <c r="G353" s="171">
        <f t="shared" si="135"/>
        <v>0.10705520676705277</v>
      </c>
      <c r="H353" s="171">
        <f t="shared" si="136"/>
        <v>0.1067518672262495</v>
      </c>
      <c r="I353" s="91">
        <f t="shared" si="144"/>
        <v>0.07776850561746444</v>
      </c>
      <c r="J353" s="91">
        <f t="shared" si="125"/>
        <v>29.745695056150083</v>
      </c>
      <c r="K353" s="172">
        <f t="shared" si="141"/>
        <v>0.04714615388720445</v>
      </c>
      <c r="L353" s="177">
        <f t="shared" si="128"/>
        <v>28.912681974064732</v>
      </c>
      <c r="M353" s="178">
        <f t="shared" si="129"/>
        <v>0.18483342412211132</v>
      </c>
      <c r="N353" s="403">
        <f t="shared" si="137"/>
        <v>0</v>
      </c>
      <c r="O353" s="177">
        <f t="shared" si="142"/>
        <v>0.002981834365369276</v>
      </c>
      <c r="P353" s="174">
        <f t="shared" si="126"/>
        <v>0.0028912681974064733</v>
      </c>
      <c r="Q353" s="179">
        <f t="shared" si="130"/>
        <v>0.006213787365640865</v>
      </c>
      <c r="R353" s="179">
        <f t="shared" si="131"/>
        <v>0.010708762733617615</v>
      </c>
      <c r="S353" s="180">
        <f t="shared" si="132"/>
        <v>0.5802525950205393</v>
      </c>
      <c r="T353" s="179">
        <f t="shared" si="133"/>
        <v>0.9892912372663825</v>
      </c>
      <c r="U353" s="181">
        <f t="shared" si="134"/>
        <v>0.6213787365640865</v>
      </c>
      <c r="V353">
        <f>IF(ISNUMBER('Set-up'!$N$42)=FALSE,"",('Set-up'!$N$42-'EPP model'!U353)^2)</f>
      </c>
    </row>
    <row r="354" spans="1:22" ht="12.75">
      <c r="A354" s="91">
        <f t="shared" si="143"/>
        <v>2015.099999999968</v>
      </c>
      <c r="B354" s="171">
        <f t="shared" si="138"/>
        <v>35.375645604581855</v>
      </c>
      <c r="C354" s="171">
        <f t="shared" si="139"/>
        <v>0.16109608024546496</v>
      </c>
      <c r="D354" s="172">
        <f t="shared" si="140"/>
        <v>0.22181766693513522</v>
      </c>
      <c r="E354" s="171">
        <f t="shared" si="127"/>
        <v>35.75855935176246</v>
      </c>
      <c r="F354" s="171"/>
      <c r="G354" s="171">
        <f t="shared" si="135"/>
        <v>0.10683048399135796</v>
      </c>
      <c r="H354" s="171">
        <f t="shared" si="136"/>
        <v>0.1065282967262494</v>
      </c>
      <c r="I354" s="91">
        <f t="shared" si="144"/>
        <v>0.07761176315678392</v>
      </c>
      <c r="J354" s="91">
        <f t="shared" si="125"/>
        <v>29.745695056150083</v>
      </c>
      <c r="K354" s="172">
        <f t="shared" si="141"/>
        <v>0.04735431185132763</v>
      </c>
      <c r="L354" s="177">
        <f t="shared" si="128"/>
        <v>29.011269938263187</v>
      </c>
      <c r="M354" s="178">
        <f t="shared" si="129"/>
        <v>0.18451863828775839</v>
      </c>
      <c r="N354" s="403">
        <f t="shared" si="137"/>
        <v>0</v>
      </c>
      <c r="O354" s="177">
        <f t="shared" si="142"/>
        <v>0.0029771480865742224</v>
      </c>
      <c r="P354" s="174">
        <f t="shared" si="126"/>
        <v>0.0029011269938263185</v>
      </c>
      <c r="Q354" s="179">
        <f t="shared" si="130"/>
        <v>0.006203204797852191</v>
      </c>
      <c r="R354" s="179">
        <f t="shared" si="131"/>
        <v>0.010708310237384527</v>
      </c>
      <c r="S354" s="180">
        <f t="shared" si="132"/>
        <v>0.5792888570033907</v>
      </c>
      <c r="T354" s="179">
        <f t="shared" si="133"/>
        <v>0.9892916897626154</v>
      </c>
      <c r="U354" s="181">
        <f t="shared" si="134"/>
        <v>0.6203204797852191</v>
      </c>
      <c r="V354">
        <f>IF(ISNUMBER('Set-up'!C409)=FALSE,"",('Set-up'!C409-'EPP model'!U354)^2)</f>
      </c>
    </row>
    <row r="355" spans="1:22" ht="12.75">
      <c r="A355" s="91">
        <f t="shared" si="143"/>
        <v>2015.199999999968</v>
      </c>
      <c r="B355" s="171">
        <f t="shared" si="138"/>
        <v>35.30139386377976</v>
      </c>
      <c r="C355" s="171">
        <f t="shared" si="139"/>
        <v>0.16113316008193582</v>
      </c>
      <c r="D355" s="172">
        <f t="shared" si="140"/>
        <v>0.2209609052281509</v>
      </c>
      <c r="E355" s="171">
        <f t="shared" si="127"/>
        <v>35.68348792908985</v>
      </c>
      <c r="F355" s="171"/>
      <c r="G355" s="171">
        <f t="shared" si="135"/>
        <v>0.1066062043625524</v>
      </c>
      <c r="H355" s="171">
        <f t="shared" si="136"/>
        <v>0.10630518428345144</v>
      </c>
      <c r="I355" s="91">
        <f t="shared" si="144"/>
        <v>0.07745520911161663</v>
      </c>
      <c r="J355" s="91">
        <f aca="true" t="shared" si="145" ref="J355:J418">force_of_infection</f>
        <v>29.745695056150083</v>
      </c>
      <c r="K355" s="172">
        <f t="shared" si="141"/>
        <v>0.047558860020962164</v>
      </c>
      <c r="L355" s="177">
        <f t="shared" si="128"/>
        <v>29.10643353276453</v>
      </c>
      <c r="M355" s="178">
        <f t="shared" si="129"/>
        <v>0.18419263608166844</v>
      </c>
      <c r="N355" s="403">
        <f t="shared" si="137"/>
        <v>0</v>
      </c>
      <c r="O355" s="177">
        <f t="shared" si="142"/>
        <v>0.002972522936038865</v>
      </c>
      <c r="P355" s="174">
        <f t="shared" si="126"/>
        <v>0.002910643353276453</v>
      </c>
      <c r="Q355" s="179">
        <f t="shared" si="130"/>
        <v>0.006192245154600468</v>
      </c>
      <c r="R355" s="179">
        <f t="shared" si="131"/>
        <v>0.010707867629683041</v>
      </c>
      <c r="S355" s="180">
        <f t="shared" si="132"/>
        <v>0.5782892886567894</v>
      </c>
      <c r="T355" s="179">
        <f t="shared" si="133"/>
        <v>0.9892921323703168</v>
      </c>
      <c r="U355" s="181">
        <f t="shared" si="134"/>
        <v>0.6192245154600468</v>
      </c>
      <c r="V355">
        <f>IF(ISNUMBER('Set-up'!C410)=FALSE,"",('Set-up'!C410-'EPP model'!U355)^2)</f>
      </c>
    </row>
    <row r="356" spans="1:22" ht="12.75">
      <c r="A356" s="91">
        <f t="shared" si="143"/>
        <v>2015.299999999968</v>
      </c>
      <c r="B356" s="171">
        <f t="shared" si="138"/>
        <v>35.227288358779326</v>
      </c>
      <c r="C356" s="171">
        <f t="shared" si="139"/>
        <v>0.16118274553850995</v>
      </c>
      <c r="D356" s="172">
        <f t="shared" si="140"/>
        <v>0.22009364334837278</v>
      </c>
      <c r="E356" s="171">
        <f t="shared" si="127"/>
        <v>35.60856474766621</v>
      </c>
      <c r="F356" s="171"/>
      <c r="G356" s="171">
        <f t="shared" si="135"/>
        <v>0.1063823676118902</v>
      </c>
      <c r="H356" s="171">
        <f t="shared" si="136"/>
        <v>0.10608252902342163</v>
      </c>
      <c r="I356" s="91">
        <f t="shared" si="144"/>
        <v>0.07729884334045077</v>
      </c>
      <c r="J356" s="91">
        <f t="shared" si="145"/>
        <v>29.745695056150083</v>
      </c>
      <c r="K356" s="172">
        <f t="shared" si="141"/>
        <v>0.04775975005945016</v>
      </c>
      <c r="L356" s="177">
        <f t="shared" si="128"/>
        <v>29.198155933907135</v>
      </c>
      <c r="M356" s="178">
        <f t="shared" si="129"/>
        <v>0.18385572249908874</v>
      </c>
      <c r="N356" s="403">
        <f t="shared" si="137"/>
        <v>0</v>
      </c>
      <c r="O356" s="177">
        <f t="shared" si="142"/>
        <v>0.002967954151566123</v>
      </c>
      <c r="P356" s="174">
        <f aca="true" t="shared" si="146" ref="P356:P419">O345*$Y$6+O334*$Y$7+O323*$Y$8+O312*$Y$9+O301*$Y$10+O290*$Y$11+O279*$Y$12+O268*$Y$13+O257*$Y$14+O246*$Y$15+O235*$Y$16+O224*$Y$17+O213*$Y$18+O202*$Y$19+O191*$N$20</f>
        <v>0.0029198155933907134</v>
      </c>
      <c r="Q356" s="179">
        <f t="shared" si="130"/>
        <v>0.006180918689310491</v>
      </c>
      <c r="R356" s="179">
        <f t="shared" si="131"/>
        <v>0.010707434899124142</v>
      </c>
      <c r="S356" s="180">
        <f t="shared" si="132"/>
        <v>0.5772548465194111</v>
      </c>
      <c r="T356" s="179">
        <f t="shared" si="133"/>
        <v>0.9892925651008759</v>
      </c>
      <c r="U356" s="181">
        <f t="shared" si="134"/>
        <v>0.6180918689310491</v>
      </c>
      <c r="V356">
        <f>IF(ISNUMBER('Set-up'!C411)=FALSE,"",('Set-up'!C411-'EPP model'!U356)^2)</f>
      </c>
    </row>
    <row r="357" spans="1:22" ht="12.75">
      <c r="A357" s="91">
        <f t="shared" si="143"/>
        <v>2015.3999999999678</v>
      </c>
      <c r="B357" s="171">
        <f t="shared" si="138"/>
        <v>35.15332900668416</v>
      </c>
      <c r="C357" s="171">
        <f t="shared" si="139"/>
        <v>0.16124439317168873</v>
      </c>
      <c r="D357" s="172">
        <f t="shared" si="140"/>
        <v>0.21921632099773664</v>
      </c>
      <c r="E357" s="171">
        <f t="shared" si="127"/>
        <v>35.533789720853584</v>
      </c>
      <c r="F357" s="171"/>
      <c r="G357" s="171">
        <f t="shared" si="135"/>
        <v>0.10615897348053614</v>
      </c>
      <c r="H357" s="171">
        <f t="shared" si="136"/>
        <v>0.10586033008830881</v>
      </c>
      <c r="I357" s="91">
        <f t="shared" si="144"/>
        <v>0.07714266710184627</v>
      </c>
      <c r="J357" s="91">
        <f t="shared" si="145"/>
        <v>29.745695056150083</v>
      </c>
      <c r="K357" s="172">
        <f t="shared" si="141"/>
        <v>0.04795693611785189</v>
      </c>
      <c r="L357" s="177">
        <f t="shared" si="128"/>
        <v>29.286422260849154</v>
      </c>
      <c r="M357" s="178">
        <f t="shared" si="129"/>
        <v>0.18350820126295114</v>
      </c>
      <c r="N357" s="403">
        <f t="shared" si="137"/>
        <v>0</v>
      </c>
      <c r="O357" s="177">
        <f t="shared" si="142"/>
        <v>0.002963437013536952</v>
      </c>
      <c r="P357" s="174">
        <f t="shared" si="146"/>
        <v>0.0029286422260849155</v>
      </c>
      <c r="Q357" s="179">
        <f t="shared" si="130"/>
        <v>0.006169235612633965</v>
      </c>
      <c r="R357" s="179">
        <f t="shared" si="131"/>
        <v>0.010707012034411455</v>
      </c>
      <c r="S357" s="180">
        <f t="shared" si="132"/>
        <v>0.5761864834751795</v>
      </c>
      <c r="T357" s="179">
        <f t="shared" si="133"/>
        <v>0.9892929879655886</v>
      </c>
      <c r="U357" s="181">
        <f t="shared" si="134"/>
        <v>0.6169235612633964</v>
      </c>
      <c r="V357">
        <f>IF(ISNUMBER('Set-up'!C412)=FALSE,"",('Set-up'!C412-'EPP model'!U357)^2)</f>
      </c>
    </row>
    <row r="358" spans="1:22" ht="12.75">
      <c r="A358" s="91">
        <f t="shared" si="143"/>
        <v>2015.4999999999677</v>
      </c>
      <c r="B358" s="171">
        <f t="shared" si="138"/>
        <v>35.0795157277656</v>
      </c>
      <c r="C358" s="171">
        <f t="shared" si="139"/>
        <v>0.16131766450607793</v>
      </c>
      <c r="D358" s="172">
        <f t="shared" si="140"/>
        <v>0.2183293728599217</v>
      </c>
      <c r="E358" s="171">
        <f t="shared" si="127"/>
        <v>35.4591627651316</v>
      </c>
      <c r="F358" s="171"/>
      <c r="G358" s="171">
        <f t="shared" si="135"/>
        <v>0.10593602171896893</v>
      </c>
      <c r="H358" s="171">
        <f t="shared" si="136"/>
        <v>0.10563858663641218</v>
      </c>
      <c r="I358" s="91">
        <f t="shared" si="144"/>
        <v>0.07698668166279463</v>
      </c>
      <c r="J358" s="91">
        <f t="shared" si="145"/>
        <v>29.745695056150083</v>
      </c>
      <c r="K358" s="172">
        <f t="shared" si="141"/>
        <v>0.048150373221646656</v>
      </c>
      <c r="L358" s="177">
        <f t="shared" si="128"/>
        <v>29.371219782223452</v>
      </c>
      <c r="M358" s="178">
        <f t="shared" si="129"/>
        <v>0.18315037469745005</v>
      </c>
      <c r="N358" s="403">
        <f t="shared" si="137"/>
        <v>0</v>
      </c>
      <c r="O358" s="177">
        <f t="shared" si="142"/>
        <v>0.0029589668554672686</v>
      </c>
      <c r="P358" s="174">
        <f t="shared" si="146"/>
        <v>0.002937121978222345</v>
      </c>
      <c r="Q358" s="179">
        <f t="shared" si="130"/>
        <v>0.0061572060881993984</v>
      </c>
      <c r="R358" s="179">
        <f t="shared" si="131"/>
        <v>0.010706599021546036</v>
      </c>
      <c r="S358" s="180">
        <f t="shared" si="132"/>
        <v>0.5750851484966041</v>
      </c>
      <c r="T358" s="179">
        <f t="shared" si="133"/>
        <v>0.989293400978454</v>
      </c>
      <c r="U358" s="181">
        <f t="shared" si="134"/>
        <v>0.6157206088199398</v>
      </c>
      <c r="V358">
        <f>IF(ISNUMBER('Set-up'!C413)=FALSE,"",('Set-up'!C413-'EPP model'!U358)^2)</f>
      </c>
    </row>
    <row r="359" spans="1:22" ht="12.75">
      <c r="A359" s="91">
        <f t="shared" si="143"/>
        <v>2015.5999999999676</v>
      </c>
      <c r="B359" s="171">
        <f t="shared" si="138"/>
        <v>35.0058484452567</v>
      </c>
      <c r="C359" s="171">
        <f t="shared" si="139"/>
        <v>0.1614021261464161</v>
      </c>
      <c r="D359" s="172">
        <f t="shared" si="140"/>
        <v>0.21743322846548876</v>
      </c>
      <c r="E359" s="171">
        <f t="shared" si="127"/>
        <v>35.384683799868604</v>
      </c>
      <c r="F359" s="171"/>
      <c r="G359" s="171">
        <f t="shared" si="135"/>
        <v>0.10571351208629748</v>
      </c>
      <c r="H359" s="171">
        <f t="shared" si="136"/>
        <v>0.1054172978416813</v>
      </c>
      <c r="I359" s="91">
        <f t="shared" si="144"/>
        <v>0.07683088828938685</v>
      </c>
      <c r="J359" s="91">
        <f t="shared" si="145"/>
        <v>29.745695056150083</v>
      </c>
      <c r="K359" s="172">
        <f t="shared" si="141"/>
        <v>0.048340018572147626</v>
      </c>
      <c r="L359" s="177">
        <f t="shared" si="128"/>
        <v>29.452538047206932</v>
      </c>
      <c r="M359" s="178">
        <f t="shared" si="129"/>
        <v>0.18278254358832668</v>
      </c>
      <c r="N359" s="403">
        <f t="shared" si="137"/>
        <v>0</v>
      </c>
      <c r="O359" s="177">
        <f t="shared" si="142"/>
        <v>0.002954539069960571</v>
      </c>
      <c r="P359" s="174">
        <f t="shared" si="146"/>
        <v>0.0029452538047206934</v>
      </c>
      <c r="Q359" s="179">
        <f t="shared" si="130"/>
        <v>0.006144840227915112</v>
      </c>
      <c r="R359" s="179">
        <f t="shared" si="131"/>
        <v>0.010706195843222757</v>
      </c>
      <c r="S359" s="180">
        <f t="shared" si="132"/>
        <v>0.5739517862271241</v>
      </c>
      <c r="T359" s="179">
        <f t="shared" si="133"/>
        <v>0.9892938041567774</v>
      </c>
      <c r="U359" s="181">
        <f t="shared" si="134"/>
        <v>0.6144840227915112</v>
      </c>
      <c r="V359">
        <f>IF(ISNUMBER('Set-up'!C414)=FALSE,"",('Set-up'!C414-'EPP model'!U359)^2)</f>
      </c>
    </row>
    <row r="360" spans="1:22" ht="12.75">
      <c r="A360" s="91">
        <f t="shared" si="143"/>
        <v>2015.6999999999675</v>
      </c>
      <c r="B360" s="171">
        <f t="shared" si="138"/>
        <v>34.93232708506987</v>
      </c>
      <c r="C360" s="171">
        <f t="shared" si="139"/>
        <v>0.16149734990170583</v>
      </c>
      <c r="D360" s="172">
        <f t="shared" si="140"/>
        <v>0.2165283120515283</v>
      </c>
      <c r="E360" s="171">
        <f t="shared" si="127"/>
        <v>35.31035274702311</v>
      </c>
      <c r="F360" s="171"/>
      <c r="G360" s="171">
        <f t="shared" si="135"/>
        <v>0.10549144434936891</v>
      </c>
      <c r="H360" s="171">
        <f t="shared" si="136"/>
        <v>0.1051964628930156</v>
      </c>
      <c r="I360" s="91">
        <f t="shared" si="144"/>
        <v>0.07667528818931699</v>
      </c>
      <c r="J360" s="91">
        <f t="shared" si="145"/>
        <v>29.745695056150083</v>
      </c>
      <c r="K360" s="172">
        <f t="shared" si="141"/>
        <v>0.048525831862661135</v>
      </c>
      <c r="L360" s="177">
        <f t="shared" si="128"/>
        <v>29.53057894969427</v>
      </c>
      <c r="M360" s="178">
        <f t="shared" si="129"/>
        <v>0.18240500703722556</v>
      </c>
      <c r="N360" s="403">
        <f t="shared" si="137"/>
        <v>0</v>
      </c>
      <c r="O360" s="177">
        <f t="shared" si="142"/>
        <v>0.002950149115760591</v>
      </c>
      <c r="P360" s="174">
        <f t="shared" si="146"/>
        <v>0.002953057894969427</v>
      </c>
      <c r="Q360" s="179">
        <f t="shared" si="130"/>
        <v>0.006132148087072934</v>
      </c>
      <c r="R360" s="179">
        <f t="shared" si="131"/>
        <v>0.010705802478427638</v>
      </c>
      <c r="S360" s="180">
        <f t="shared" si="132"/>
        <v>0.5727873365335584</v>
      </c>
      <c r="T360" s="179">
        <f t="shared" si="133"/>
        <v>0.9892941975215722</v>
      </c>
      <c r="U360" s="181">
        <f t="shared" si="134"/>
        <v>0.6132148087072934</v>
      </c>
      <c r="V360">
        <f>IF(ISNUMBER('Set-up'!C415)=FALSE,"",('Set-up'!C415-'EPP model'!U360)^2)</f>
      </c>
    </row>
    <row r="361" spans="1:22" ht="12.75">
      <c r="A361" s="91">
        <f t="shared" si="143"/>
        <v>2015.7999999999674</v>
      </c>
      <c r="B361" s="171">
        <f t="shared" si="138"/>
        <v>34.85895157566645</v>
      </c>
      <c r="C361" s="171">
        <f t="shared" si="139"/>
        <v>0.16160291292579793</v>
      </c>
      <c r="D361" s="172">
        <f t="shared" si="140"/>
        <v>0.21561502142225875</v>
      </c>
      <c r="E361" s="171">
        <f t="shared" si="127"/>
        <v>35.23616951001451</v>
      </c>
      <c r="F361" s="171"/>
      <c r="G361" s="171">
        <f t="shared" si="135"/>
        <v>0.10526981821964387</v>
      </c>
      <c r="H361" s="171">
        <f t="shared" si="136"/>
        <v>0.10497608095993782</v>
      </c>
      <c r="I361" s="91">
        <f t="shared" si="144"/>
        <v>0.07651988268633154</v>
      </c>
      <c r="J361" s="91">
        <f t="shared" si="145"/>
        <v>29.745695056150083</v>
      </c>
      <c r="K361" s="172">
        <f t="shared" si="141"/>
        <v>0.04870777550556187</v>
      </c>
      <c r="L361" s="177">
        <f t="shared" si="128"/>
        <v>29.605089195362293</v>
      </c>
      <c r="M361" s="178">
        <f t="shared" si="129"/>
        <v>0.18201804469492502</v>
      </c>
      <c r="N361" s="403">
        <f t="shared" si="137"/>
        <v>0</v>
      </c>
      <c r="O361" s="177">
        <f t="shared" si="142"/>
        <v>0.002945792524531393</v>
      </c>
      <c r="P361" s="174">
        <f t="shared" si="146"/>
        <v>0.0029605089195362294</v>
      </c>
      <c r="Q361" s="179">
        <f t="shared" si="130"/>
        <v>0.006119139067059447</v>
      </c>
      <c r="R361" s="179">
        <f t="shared" si="131"/>
        <v>0.01070541831287442</v>
      </c>
      <c r="S361" s="180">
        <f t="shared" si="132"/>
        <v>0.5715927101793418</v>
      </c>
      <c r="T361" s="179">
        <f t="shared" si="133"/>
        <v>0.9892945816871255</v>
      </c>
      <c r="U361" s="181">
        <f t="shared" si="134"/>
        <v>0.6119139067059447</v>
      </c>
      <c r="V361">
        <f>IF(ISNUMBER('Set-up'!C416)=FALSE,"",('Set-up'!C416-'EPP model'!U361)^2)</f>
      </c>
    </row>
    <row r="362" spans="1:22" ht="12.75">
      <c r="A362" s="91">
        <f t="shared" si="143"/>
        <v>2015.8999999999673</v>
      </c>
      <c r="B362" s="171">
        <f t="shared" si="138"/>
        <v>34.78572182682702</v>
      </c>
      <c r="C362" s="171">
        <f t="shared" si="139"/>
        <v>0.16171841906151366</v>
      </c>
      <c r="D362" s="172">
        <f t="shared" si="140"/>
        <v>0.21469377337329074</v>
      </c>
      <c r="E362" s="171">
        <f t="shared" si="127"/>
        <v>35.16213401926183</v>
      </c>
      <c r="F362" s="171"/>
      <c r="G362" s="171">
        <f t="shared" si="135"/>
        <v>0.1050486334892457</v>
      </c>
      <c r="H362" s="171">
        <f t="shared" si="136"/>
        <v>0.10475615126676122</v>
      </c>
      <c r="I362" s="91">
        <f t="shared" si="144"/>
        <v>0.07636467304646176</v>
      </c>
      <c r="J362" s="91">
        <f t="shared" si="145"/>
        <v>29.745695056150083</v>
      </c>
      <c r="K362" s="172">
        <f t="shared" si="141"/>
        <v>0.04888608879926289</v>
      </c>
      <c r="L362" s="177">
        <f t="shared" si="128"/>
        <v>29.676079901124602</v>
      </c>
      <c r="M362" s="178">
        <f t="shared" si="129"/>
        <v>0.18162195473453716</v>
      </c>
      <c r="N362" s="403">
        <f t="shared" si="137"/>
        <v>0</v>
      </c>
      <c r="O362" s="177">
        <f t="shared" si="142"/>
        <v>0.0029414646227757966</v>
      </c>
      <c r="P362" s="174">
        <f t="shared" si="146"/>
        <v>0.00296760799011246</v>
      </c>
      <c r="Q362" s="179">
        <f t="shared" si="130"/>
        <v>0.006105823191950791</v>
      </c>
      <c r="R362" s="179">
        <f t="shared" si="131"/>
        <v>0.010705044017766546</v>
      </c>
      <c r="S362" s="180">
        <f t="shared" si="132"/>
        <v>0.5703688076216508</v>
      </c>
      <c r="T362" s="179">
        <f t="shared" si="133"/>
        <v>0.9892949559822334</v>
      </c>
      <c r="U362" s="181">
        <f t="shared" si="134"/>
        <v>0.6105823191950791</v>
      </c>
      <c r="V362">
        <f>IF(ISNUMBER('Set-up'!C417)=FALSE,"",('Set-up'!C417-'EPP model'!U362)^2)</f>
      </c>
    </row>
    <row r="363" spans="1:22" ht="12.75">
      <c r="A363" s="91">
        <f t="shared" si="143"/>
        <v>2015.9999999999673</v>
      </c>
      <c r="B363" s="171">
        <f t="shared" si="138"/>
        <v>34.712637775222746</v>
      </c>
      <c r="C363" s="171">
        <f t="shared" si="139"/>
        <v>0.16184345243462597</v>
      </c>
      <c r="D363" s="172">
        <f t="shared" si="140"/>
        <v>0.2137649779726937</v>
      </c>
      <c r="E363" s="171">
        <f t="shared" si="127"/>
        <v>35.088246205630064</v>
      </c>
      <c r="F363" s="171"/>
      <c r="G363" s="171">
        <f t="shared" si="135"/>
        <v>0.10482788995163012</v>
      </c>
      <c r="H363" s="171">
        <f t="shared" si="136"/>
        <v>0.10453667304829642</v>
      </c>
      <c r="I363" s="91">
        <f t="shared" si="144"/>
        <v>0.0762096605362561</v>
      </c>
      <c r="J363" s="91">
        <f t="shared" si="145"/>
        <v>29.745695056150083</v>
      </c>
      <c r="K363" s="172">
        <f t="shared" si="141"/>
        <v>0.04906041609530087</v>
      </c>
      <c r="L363" s="177">
        <f t="shared" si="128"/>
        <v>29.74356137343671</v>
      </c>
      <c r="M363" s="178">
        <f t="shared" si="129"/>
        <v>0.1812170323702335</v>
      </c>
      <c r="N363" s="403">
        <f t="shared" si="137"/>
        <v>0</v>
      </c>
      <c r="O363" s="177">
        <f t="shared" si="142"/>
        <v>0.0029371615386531145</v>
      </c>
      <c r="P363" s="174">
        <f t="shared" si="146"/>
        <v>0.0029743561373436708</v>
      </c>
      <c r="Q363" s="179">
        <f t="shared" si="130"/>
        <v>0.006092210386348525</v>
      </c>
      <c r="R363" s="179">
        <f t="shared" si="131"/>
        <v>0.010704679515930085</v>
      </c>
      <c r="S363" s="180">
        <f t="shared" si="132"/>
        <v>0.5691165604054236</v>
      </c>
      <c r="T363" s="179">
        <f t="shared" si="133"/>
        <v>0.98929532048407</v>
      </c>
      <c r="U363" s="181">
        <f t="shared" si="134"/>
        <v>0.6092210386348526</v>
      </c>
      <c r="V363">
        <f>IF(ISNUMBER('Set-up'!$N$43)=FALSE,"",('Set-up'!$N$43-'EPP model'!U363)^2)</f>
      </c>
    </row>
    <row r="364" spans="1:22" ht="12.75">
      <c r="A364" s="91">
        <f t="shared" si="143"/>
        <v>2016.0999999999672</v>
      </c>
      <c r="B364" s="171">
        <f t="shared" si="138"/>
        <v>34.63969935769821</v>
      </c>
      <c r="C364" s="171">
        <f t="shared" si="139"/>
        <v>0.1619776045263103</v>
      </c>
      <c r="D364" s="172">
        <f t="shared" si="140"/>
        <v>0.2128290382857449</v>
      </c>
      <c r="E364" s="171">
        <f t="shared" si="127"/>
        <v>35.01450600051027</v>
      </c>
      <c r="F364" s="171"/>
      <c r="G364" s="171">
        <f t="shared" si="135"/>
        <v>0.10460758740182448</v>
      </c>
      <c r="H364" s="171">
        <f t="shared" si="136"/>
        <v>0.10431764555046573</v>
      </c>
      <c r="I364" s="91">
        <f t="shared" si="144"/>
        <v>0.07605484642311515</v>
      </c>
      <c r="J364" s="91">
        <f t="shared" si="145"/>
        <v>29.745695056150083</v>
      </c>
      <c r="K364" s="172">
        <f t="shared" si="141"/>
        <v>0.04923074871352075</v>
      </c>
      <c r="L364" s="177">
        <f t="shared" si="128"/>
        <v>29.80754092143983</v>
      </c>
      <c r="M364" s="178">
        <f t="shared" si="129"/>
        <v>0.180803569579111</v>
      </c>
      <c r="N364" s="403">
        <f t="shared" si="137"/>
        <v>0</v>
      </c>
      <c r="O364" s="177">
        <f t="shared" si="142"/>
        <v>0.0029328790158755966</v>
      </c>
      <c r="P364" s="174">
        <f t="shared" si="146"/>
        <v>0.002980754092143983</v>
      </c>
      <c r="Q364" s="179">
        <f t="shared" si="130"/>
        <v>0.006078310466029231</v>
      </c>
      <c r="R364" s="179">
        <f t="shared" si="131"/>
        <v>0.010704324739197893</v>
      </c>
      <c r="S364" s="180">
        <f t="shared" si="132"/>
        <v>0.5678368896798526</v>
      </c>
      <c r="T364" s="179">
        <f t="shared" si="133"/>
        <v>0.989295675260802</v>
      </c>
      <c r="U364" s="181">
        <f t="shared" si="134"/>
        <v>0.6078310466029231</v>
      </c>
      <c r="V364">
        <f>IF(ISNUMBER('Set-up'!C419)=FALSE,"",('Set-up'!C419-'EPP model'!U364)^2)</f>
      </c>
    </row>
    <row r="365" spans="1:22" ht="12.75">
      <c r="A365" s="91">
        <f t="shared" si="143"/>
        <v>2016.199999999967</v>
      </c>
      <c r="B365" s="171">
        <f t="shared" si="138"/>
        <v>34.56690651148317</v>
      </c>
      <c r="C365" s="171">
        <f t="shared" si="139"/>
        <v>0.16212047382013595</v>
      </c>
      <c r="D365" s="172">
        <f t="shared" si="140"/>
        <v>0.21188635081483034</v>
      </c>
      <c r="E365" s="171">
        <f t="shared" si="127"/>
        <v>34.940913336118136</v>
      </c>
      <c r="F365" s="171"/>
      <c r="G365" s="171">
        <f t="shared" si="135"/>
        <v>0.10438772563731975</v>
      </c>
      <c r="H365" s="171">
        <f t="shared" si="136"/>
        <v>0.10409906803059593</v>
      </c>
      <c r="I365" s="91">
        <f t="shared" si="144"/>
        <v>0.07590023197551483</v>
      </c>
      <c r="J365" s="91">
        <f t="shared" si="145"/>
        <v>29.745695056150083</v>
      </c>
      <c r="K365" s="172">
        <f t="shared" si="141"/>
        <v>0.04939707516858765</v>
      </c>
      <c r="L365" s="177">
        <f t="shared" si="128"/>
        <v>29.868025670553386</v>
      </c>
      <c r="M365" s="178">
        <f t="shared" si="129"/>
        <v>0.18038185542744026</v>
      </c>
      <c r="N365" s="403">
        <f t="shared" si="137"/>
        <v>0</v>
      </c>
      <c r="O365" s="177">
        <f t="shared" si="142"/>
        <v>0.002928612909023047</v>
      </c>
      <c r="P365" s="174">
        <f t="shared" si="146"/>
        <v>0.0029868025670553387</v>
      </c>
      <c r="Q365" s="179">
        <f t="shared" si="130"/>
        <v>0.006064133148912429</v>
      </c>
      <c r="R365" s="179">
        <f t="shared" si="131"/>
        <v>0.010703979630903308</v>
      </c>
      <c r="S365" s="180">
        <f t="shared" si="132"/>
        <v>0.5665307070843778</v>
      </c>
      <c r="T365" s="179">
        <f t="shared" si="133"/>
        <v>0.9892960203690967</v>
      </c>
      <c r="U365" s="181">
        <f t="shared" si="134"/>
        <v>0.6064133148912428</v>
      </c>
      <c r="V365">
        <f>IF(ISNUMBER('Set-up'!C420)=FALSE,"",('Set-up'!C420-'EPP model'!U365)^2)</f>
      </c>
    </row>
    <row r="366" spans="1:22" ht="12.75">
      <c r="A366" s="91">
        <f t="shared" si="143"/>
        <v>2016.299999999967</v>
      </c>
      <c r="B366" s="171">
        <f t="shared" si="138"/>
        <v>34.494259175882426</v>
      </c>
      <c r="C366" s="171">
        <f t="shared" si="139"/>
        <v>0.1622716654266415</v>
      </c>
      <c r="D366" s="172">
        <f t="shared" si="140"/>
        <v>0.21093730565964824</v>
      </c>
      <c r="E366" s="171">
        <f t="shared" si="127"/>
        <v>34.86746814696872</v>
      </c>
      <c r="F366" s="171"/>
      <c r="G366" s="171">
        <f t="shared" si="135"/>
        <v>0.10416830446247641</v>
      </c>
      <c r="H366" s="171">
        <f t="shared" si="136"/>
        <v>0.10388093976160571</v>
      </c>
      <c r="I366" s="91">
        <f t="shared" si="144"/>
        <v>0.07574581992173651</v>
      </c>
      <c r="J366" s="91">
        <f t="shared" si="145"/>
        <v>29.745695056150083</v>
      </c>
      <c r="K366" s="172">
        <f t="shared" si="141"/>
        <v>0.04955937991865091</v>
      </c>
      <c r="L366" s="177">
        <f t="shared" si="128"/>
        <v>29.925024254034696</v>
      </c>
      <c r="M366" s="178">
        <f t="shared" si="129"/>
        <v>0.1799521761565961</v>
      </c>
      <c r="N366" s="403">
        <f t="shared" si="137"/>
        <v>0</v>
      </c>
      <c r="O366" s="177">
        <f t="shared" si="142"/>
        <v>0.002924359187045188</v>
      </c>
      <c r="P366" s="174">
        <f t="shared" si="146"/>
        <v>0.0029925024254034696</v>
      </c>
      <c r="Q366" s="179">
        <f t="shared" si="130"/>
        <v>0.0060496880579494145</v>
      </c>
      <c r="R366" s="179">
        <f t="shared" si="131"/>
        <v>0.010703644139379116</v>
      </c>
      <c r="S366" s="180">
        <f t="shared" si="132"/>
        <v>0.5651989153574697</v>
      </c>
      <c r="T366" s="179">
        <f t="shared" si="133"/>
        <v>0.9892963558606208</v>
      </c>
      <c r="U366" s="181">
        <f t="shared" si="134"/>
        <v>0.6049688057949415</v>
      </c>
      <c r="V366">
        <f>IF(ISNUMBER('Set-up'!C421)=FALSE,"",('Set-up'!C421-'EPP model'!U366)^2)</f>
      </c>
    </row>
    <row r="367" spans="1:22" ht="12.75">
      <c r="A367" s="91">
        <f t="shared" si="143"/>
        <v>2016.399999999967</v>
      </c>
      <c r="B367" s="171">
        <f t="shared" si="138"/>
        <v>34.42175728960922</v>
      </c>
      <c r="C367" s="171">
        <f t="shared" si="139"/>
        <v>0.16243079072440064</v>
      </c>
      <c r="D367" s="172">
        <f t="shared" si="140"/>
        <v>0.20998228650653222</v>
      </c>
      <c r="E367" s="171">
        <f t="shared" si="127"/>
        <v>34.79417036684015</v>
      </c>
      <c r="F367" s="171"/>
      <c r="G367" s="171">
        <f t="shared" si="135"/>
        <v>0.1039493236794533</v>
      </c>
      <c r="H367" s="171">
        <f t="shared" si="136"/>
        <v>0.10366326002294933</v>
      </c>
      <c r="I367" s="91">
        <f t="shared" si="144"/>
        <v>0.07559161011416439</v>
      </c>
      <c r="J367" s="91">
        <f t="shared" si="145"/>
        <v>29.745695056150083</v>
      </c>
      <c r="K367" s="172">
        <f t="shared" si="141"/>
        <v>0.04971764634474898</v>
      </c>
      <c r="L367" s="177">
        <f t="shared" si="128"/>
        <v>29.978546969947104</v>
      </c>
      <c r="M367" s="178">
        <f t="shared" si="129"/>
        <v>0.17951481514757225</v>
      </c>
      <c r="N367" s="403">
        <f t="shared" si="137"/>
        <v>0</v>
      </c>
      <c r="O367" s="177">
        <f t="shared" si="142"/>
        <v>0.0029201139322079218</v>
      </c>
      <c r="P367" s="174">
        <f t="shared" si="146"/>
        <v>0.0029978546969947105</v>
      </c>
      <c r="Q367" s="179">
        <f t="shared" si="130"/>
        <v>0.006034984719930308</v>
      </c>
      <c r="R367" s="179">
        <f t="shared" si="131"/>
        <v>0.010703318208324153</v>
      </c>
      <c r="S367" s="180">
        <f t="shared" si="132"/>
        <v>0.5638424087248753</v>
      </c>
      <c r="T367" s="179">
        <f t="shared" si="133"/>
        <v>0.989296681791676</v>
      </c>
      <c r="U367" s="181">
        <f t="shared" si="134"/>
        <v>0.6034984719930309</v>
      </c>
      <c r="V367">
        <f>IF(ISNUMBER('Set-up'!C422)=FALSE,"",('Set-up'!C422-'EPP model'!U367)^2)</f>
      </c>
    </row>
    <row r="368" spans="1:22" ht="12.75">
      <c r="A368" s="91">
        <f t="shared" si="143"/>
        <v>2016.4999999999668</v>
      </c>
      <c r="B368" s="171">
        <f t="shared" si="138"/>
        <v>34.349400791864895</v>
      </c>
      <c r="C368" s="171">
        <f t="shared" si="139"/>
        <v>0.16259746755934995</v>
      </c>
      <c r="D368" s="172">
        <f t="shared" si="140"/>
        <v>0.20902167059914578</v>
      </c>
      <c r="E368" s="171">
        <f t="shared" si="127"/>
        <v>34.72101993002339</v>
      </c>
      <c r="F368" s="171"/>
      <c r="G368" s="171">
        <f t="shared" si="135"/>
        <v>0.10373078309194139</v>
      </c>
      <c r="H368" s="171">
        <f t="shared" si="136"/>
        <v>0.10344602810439008</v>
      </c>
      <c r="I368" s="91">
        <f t="shared" si="144"/>
        <v>0.07543760381833117</v>
      </c>
      <c r="J368" s="91">
        <f t="shared" si="145"/>
        <v>29.745695056150083</v>
      </c>
      <c r="K368" s="172">
        <f t="shared" si="141"/>
        <v>0.049871861276535985</v>
      </c>
      <c r="L368" s="177">
        <f t="shared" si="128"/>
        <v>30.02860630444818</v>
      </c>
      <c r="M368" s="178">
        <f t="shared" si="129"/>
        <v>0.17907005284694855</v>
      </c>
      <c r="N368" s="403">
        <f t="shared" si="137"/>
        <v>0</v>
      </c>
      <c r="O368" s="177">
        <f t="shared" si="142"/>
        <v>0.0029158733371164778</v>
      </c>
      <c r="P368" s="174">
        <f t="shared" si="146"/>
        <v>0.003002860630444818</v>
      </c>
      <c r="Q368" s="179">
        <f t="shared" si="130"/>
        <v>0.00602003256299519</v>
      </c>
      <c r="R368" s="179">
        <f t="shared" si="131"/>
        <v>0.010703001781268394</v>
      </c>
      <c r="S368" s="180">
        <f t="shared" si="132"/>
        <v>0.5624620724188805</v>
      </c>
      <c r="T368" s="179">
        <f t="shared" si="133"/>
        <v>0.9892969982187316</v>
      </c>
      <c r="U368" s="181">
        <f t="shared" si="134"/>
        <v>0.602003256299519</v>
      </c>
      <c r="V368">
        <f>IF(ISNUMBER('Set-up'!C423)=FALSE,"",('Set-up'!C423-'EPP model'!U368)^2)</f>
      </c>
    </row>
    <row r="369" spans="1:22" ht="12.75">
      <c r="A369" s="91">
        <f t="shared" si="143"/>
        <v>2016.5999999999667</v>
      </c>
      <c r="B369" s="171">
        <f t="shared" si="138"/>
        <v>34.277189622243405</v>
      </c>
      <c r="C369" s="171">
        <f t="shared" si="139"/>
        <v>0.16277132020771745</v>
      </c>
      <c r="D369" s="172">
        <f t="shared" si="140"/>
        <v>0.20805582866311817</v>
      </c>
      <c r="E369" s="171">
        <f t="shared" si="127"/>
        <v>34.64801677111424</v>
      </c>
      <c r="F369" s="171"/>
      <c r="G369" s="171">
        <f t="shared" si="135"/>
        <v>0.10351268250454237</v>
      </c>
      <c r="H369" s="171">
        <f t="shared" si="136"/>
        <v>0.1032292433054817</v>
      </c>
      <c r="I369" s="91">
        <f t="shared" si="144"/>
        <v>0.0752838023127612</v>
      </c>
      <c r="J369" s="91">
        <f t="shared" si="145"/>
        <v>29.745695056150083</v>
      </c>
      <c r="K369" s="172">
        <f t="shared" si="141"/>
        <v>0.05002201289674709</v>
      </c>
      <c r="L369" s="177">
        <f t="shared" si="128"/>
        <v>30.075217104082583</v>
      </c>
      <c r="M369" s="178">
        <f t="shared" si="129"/>
        <v>0.17861816666018368</v>
      </c>
      <c r="N369" s="403">
        <f t="shared" si="137"/>
        <v>0</v>
      </c>
      <c r="O369" s="177">
        <f t="shared" si="142"/>
        <v>0.00291163371086328</v>
      </c>
      <c r="P369" s="174">
        <f t="shared" si="146"/>
        <v>0.0030075217104082582</v>
      </c>
      <c r="Q369" s="179">
        <f t="shared" si="130"/>
        <v>0.006004840913046791</v>
      </c>
      <c r="R369" s="179">
        <f t="shared" si="131"/>
        <v>0.010702694798392936</v>
      </c>
      <c r="S369" s="180">
        <f t="shared" si="132"/>
        <v>0.5610587824991934</v>
      </c>
      <c r="T369" s="179">
        <f t="shared" si="133"/>
        <v>0.989297305201607</v>
      </c>
      <c r="U369" s="181">
        <f t="shared" si="134"/>
        <v>0.6004840913046791</v>
      </c>
      <c r="V369">
        <f>IF(ISNUMBER('Set-up'!C424)=FALSE,"",('Set-up'!C424-'EPP model'!U369)^2)</f>
      </c>
    </row>
    <row r="370" spans="1:22" ht="12.75">
      <c r="A370" s="91">
        <f t="shared" si="143"/>
        <v>2016.6999999999666</v>
      </c>
      <c r="B370" s="171">
        <f t="shared" si="138"/>
        <v>34.205123720512404</v>
      </c>
      <c r="C370" s="171">
        <f t="shared" si="139"/>
        <v>0.1629519794499014</v>
      </c>
      <c r="D370" s="172">
        <f t="shared" si="140"/>
        <v>0.2070851248147747</v>
      </c>
      <c r="E370" s="171">
        <f t="shared" si="127"/>
        <v>34.57516082477708</v>
      </c>
      <c r="F370" s="171"/>
      <c r="G370" s="171">
        <f t="shared" si="135"/>
        <v>0.10329502172206279</v>
      </c>
      <c r="H370" s="171">
        <f t="shared" si="136"/>
        <v>0.10301290493498674</v>
      </c>
      <c r="I370" s="91">
        <f t="shared" si="144"/>
        <v>0.07513020687699168</v>
      </c>
      <c r="J370" s="91">
        <f t="shared" si="145"/>
        <v>29.745695056150083</v>
      </c>
      <c r="K370" s="172">
        <f t="shared" si="141"/>
        <v>0.05016809225206991</v>
      </c>
      <c r="L370" s="177">
        <f t="shared" si="128"/>
        <v>30.118396666451297</v>
      </c>
      <c r="M370" s="178">
        <f t="shared" si="129"/>
        <v>0.17815943083020444</v>
      </c>
      <c r="N370" s="403">
        <f t="shared" si="137"/>
        <v>0</v>
      </c>
      <c r="O370" s="177">
        <f t="shared" si="142"/>
        <v>0.00290739148003602</v>
      </c>
      <c r="P370" s="174">
        <f t="shared" si="146"/>
        <v>0.00301183966664513</v>
      </c>
      <c r="Q370" s="179">
        <f t="shared" si="130"/>
        <v>0.005989418989668861</v>
      </c>
      <c r="R370" s="179">
        <f t="shared" si="131"/>
        <v>0.01070239719606747</v>
      </c>
      <c r="S370" s="180">
        <f t="shared" si="132"/>
        <v>0.5596334054831786</v>
      </c>
      <c r="T370" s="179">
        <f t="shared" si="133"/>
        <v>0.9892976028039325</v>
      </c>
      <c r="U370" s="181">
        <f t="shared" si="134"/>
        <v>0.5989418989668861</v>
      </c>
      <c r="V370">
        <f>IF(ISNUMBER('Set-up'!C425)=FALSE,"",('Set-up'!C425-'EPP model'!U370)^2)</f>
      </c>
    </row>
    <row r="371" spans="1:22" ht="12.75">
      <c r="A371" s="91">
        <f t="shared" si="143"/>
        <v>2016.7999999999665</v>
      </c>
      <c r="B371" s="171">
        <f t="shared" si="138"/>
        <v>34.133203026314035</v>
      </c>
      <c r="C371" s="171">
        <f t="shared" si="139"/>
        <v>0.16313908265347174</v>
      </c>
      <c r="D371" s="172">
        <f t="shared" si="140"/>
        <v>0.20610991646360902</v>
      </c>
      <c r="E371" s="171">
        <f t="shared" si="127"/>
        <v>34.50245202543112</v>
      </c>
      <c r="F371" s="171"/>
      <c r="G371" s="171">
        <f t="shared" si="135"/>
        <v>0.10307780054857674</v>
      </c>
      <c r="H371" s="171">
        <f t="shared" si="136"/>
        <v>0.10279701231007228</v>
      </c>
      <c r="I371" s="91">
        <f t="shared" si="144"/>
        <v>0.07497681872225537</v>
      </c>
      <c r="J371" s="91">
        <f t="shared" si="145"/>
        <v>29.745695056150083</v>
      </c>
      <c r="K371" s="172">
        <f t="shared" si="141"/>
        <v>0.05031009348813025</v>
      </c>
      <c r="L371" s="177">
        <f t="shared" si="128"/>
        <v>30.158338277367776</v>
      </c>
      <c r="M371" s="178">
        <f t="shared" si="129"/>
        <v>0.17769411630965015</v>
      </c>
      <c r="N371" s="403">
        <f t="shared" si="137"/>
        <v>0</v>
      </c>
      <c r="O371" s="177">
        <f t="shared" si="142"/>
        <v>0.0029031431911449605</v>
      </c>
      <c r="P371" s="174">
        <f t="shared" si="146"/>
        <v>0.0030158338277367774</v>
      </c>
      <c r="Q371" s="179">
        <f t="shared" si="130"/>
        <v>0.005973775901831244</v>
      </c>
      <c r="R371" s="179">
        <f t="shared" si="131"/>
        <v>0.010702108906489143</v>
      </c>
      <c r="S371" s="180">
        <f t="shared" si="132"/>
        <v>0.5581867979505507</v>
      </c>
      <c r="T371" s="179">
        <f t="shared" si="133"/>
        <v>0.9892978910935107</v>
      </c>
      <c r="U371" s="181">
        <f t="shared" si="134"/>
        <v>0.5973775901831244</v>
      </c>
      <c r="V371">
        <f>IF(ISNUMBER('Set-up'!C426)=FALSE,"",('Set-up'!C426-'EPP model'!U371)^2)</f>
      </c>
    </row>
    <row r="372" spans="1:22" ht="12.75">
      <c r="A372" s="91">
        <f t="shared" si="143"/>
        <v>2016.8999999999664</v>
      </c>
      <c r="B372" s="171">
        <f t="shared" si="138"/>
        <v>34.06142747905398</v>
      </c>
      <c r="C372" s="171">
        <f t="shared" si="139"/>
        <v>0.16333227387576144</v>
      </c>
      <c r="D372" s="172">
        <f t="shared" si="140"/>
        <v>0.2051305368635927</v>
      </c>
      <c r="E372" s="171">
        <f t="shared" si="127"/>
        <v>34.429890289793335</v>
      </c>
      <c r="F372" s="171"/>
      <c r="G372" s="171">
        <f t="shared" si="135"/>
        <v>0.10286101873527209</v>
      </c>
      <c r="H372" s="171">
        <f t="shared" si="136"/>
        <v>0.10258156472792657</v>
      </c>
      <c r="I372" s="91">
        <f t="shared" si="144"/>
        <v>0.07482363920048081</v>
      </c>
      <c r="J372" s="91">
        <f t="shared" si="145"/>
        <v>29.745695056150083</v>
      </c>
      <c r="K372" s="172">
        <f t="shared" si="141"/>
        <v>0.05044801403699148</v>
      </c>
      <c r="L372" s="177">
        <f t="shared" si="128"/>
        <v>30.194851129706365</v>
      </c>
      <c r="M372" s="178">
        <f t="shared" si="129"/>
        <v>0.17722247572939934</v>
      </c>
      <c r="N372" s="403">
        <f t="shared" si="137"/>
        <v>0</v>
      </c>
      <c r="O372" s="177">
        <f t="shared" si="142"/>
        <v>0.002898885512767564</v>
      </c>
      <c r="P372" s="174">
        <f t="shared" si="146"/>
        <v>0.0030194851129706365</v>
      </c>
      <c r="Q372" s="179">
        <f t="shared" si="130"/>
        <v>0.005957920142557155</v>
      </c>
      <c r="R372" s="179">
        <f t="shared" si="131"/>
        <v>0.010701829359258347</v>
      </c>
      <c r="S372" s="180">
        <f t="shared" si="132"/>
        <v>0.5567197852396002</v>
      </c>
      <c r="T372" s="179">
        <f t="shared" si="133"/>
        <v>0.9892981706407417</v>
      </c>
      <c r="U372" s="181">
        <f t="shared" si="134"/>
        <v>0.5957920142557155</v>
      </c>
      <c r="V372">
        <f>IF(ISNUMBER('Set-up'!C427)=FALSE,"",('Set-up'!C427-'EPP model'!U372)^2)</f>
      </c>
    </row>
    <row r="373" spans="1:22" ht="12.75">
      <c r="A373" s="91">
        <f t="shared" si="143"/>
        <v>2016.9999999999663</v>
      </c>
      <c r="B373" s="171">
        <f t="shared" si="138"/>
        <v>33.989796999720795</v>
      </c>
      <c r="C373" s="171">
        <f t="shared" si="139"/>
        <v>0.16353122206858445</v>
      </c>
      <c r="D373" s="172">
        <f t="shared" si="140"/>
        <v>0.20414733350433995</v>
      </c>
      <c r="E373" s="171">
        <f t="shared" si="127"/>
        <v>34.35747555529372</v>
      </c>
      <c r="F373" s="171"/>
      <c r="G373" s="171">
        <f t="shared" si="135"/>
        <v>0.10264467609521775</v>
      </c>
      <c r="H373" s="171">
        <f t="shared" si="136"/>
        <v>0.1023665615282256</v>
      </c>
      <c r="I373" s="91">
        <f t="shared" si="144"/>
        <v>0.07467066959546587</v>
      </c>
      <c r="J373" s="91">
        <f t="shared" si="145"/>
        <v>29.745695056150083</v>
      </c>
      <c r="K373" s="172">
        <f t="shared" si="141"/>
        <v>0.050582093992654</v>
      </c>
      <c r="L373" s="177">
        <f t="shared" si="128"/>
        <v>30.227975072639584</v>
      </c>
      <c r="M373" s="178">
        <f t="shared" si="129"/>
        <v>0.17674477623285773</v>
      </c>
      <c r="N373" s="403">
        <f t="shared" si="137"/>
        <v>0</v>
      </c>
      <c r="O373" s="177">
        <f t="shared" si="142"/>
        <v>0.002894614994277474</v>
      </c>
      <c r="P373" s="174">
        <f t="shared" si="146"/>
        <v>0.0030227975072639585</v>
      </c>
      <c r="Q373" s="179">
        <f t="shared" si="130"/>
        <v>0.005941860692756439</v>
      </c>
      <c r="R373" s="179">
        <f t="shared" si="131"/>
        <v>0.010701559111384519</v>
      </c>
      <c r="S373" s="180">
        <f t="shared" si="132"/>
        <v>0.5552331796621462</v>
      </c>
      <c r="T373" s="179">
        <f t="shared" si="133"/>
        <v>0.9892984408886155</v>
      </c>
      <c r="U373" s="181">
        <f t="shared" si="134"/>
        <v>0.5941860692756439</v>
      </c>
      <c r="V373">
        <f>IF(ISNUMBER('Set-up'!$N$44)=FALSE,"",('Set-up'!$N$44-'EPP model'!U373)^2)</f>
      </c>
    </row>
    <row r="374" spans="1:22" ht="12.75">
      <c r="A374" s="91">
        <f t="shared" si="143"/>
        <v>2017.0999999999663</v>
      </c>
      <c r="B374" s="171">
        <f t="shared" si="138"/>
        <v>33.91831153128839</v>
      </c>
      <c r="C374" s="171">
        <f t="shared" si="139"/>
        <v>0.1637355799098141</v>
      </c>
      <c r="D374" s="172">
        <f t="shared" si="140"/>
        <v>0.2031606457260227</v>
      </c>
      <c r="E374" s="171">
        <f aca="true" t="shared" si="147" ref="E374:E437">B374+C374+D374</f>
        <v>34.28520775692422</v>
      </c>
      <c r="F374" s="171"/>
      <c r="G374" s="171">
        <f t="shared" si="135"/>
        <v>0.10242877243419897</v>
      </c>
      <c r="H374" s="171">
        <f t="shared" si="136"/>
        <v>0.10215200205446369</v>
      </c>
      <c r="I374" s="91">
        <f t="shared" si="144"/>
        <v>0.07451791119231391</v>
      </c>
      <c r="J374" s="91">
        <f t="shared" si="145"/>
        <v>29.745695056150083</v>
      </c>
      <c r="K374" s="172">
        <f t="shared" si="141"/>
        <v>0.05071203434299391</v>
      </c>
      <c r="L374" s="177">
        <f aca="true" t="shared" si="148" ref="L374:L437">phi*P374</f>
        <v>30.25774890655436</v>
      </c>
      <c r="M374" s="178">
        <f aca="true" t="shared" si="149" ref="M374:M437">MIN(1,J374*D374/E374)</f>
        <v>0.1762612803172044</v>
      </c>
      <c r="N374" s="403">
        <f t="shared" si="137"/>
        <v>0</v>
      </c>
      <c r="O374" s="177">
        <f t="shared" si="142"/>
        <v>0.0028903289251597727</v>
      </c>
      <c r="P374" s="174">
        <f t="shared" si="146"/>
        <v>0.0030257748906554363</v>
      </c>
      <c r="Q374" s="179">
        <f aca="true" t="shared" si="150" ref="Q374:Q437">D374/E374</f>
        <v>0.005925606377140662</v>
      </c>
      <c r="R374" s="179">
        <f aca="true" t="shared" si="151" ref="R374:R437">(C374+D374)/E374</f>
        <v>0.01070129801274833</v>
      </c>
      <c r="S374" s="180">
        <f aca="true" t="shared" si="152" ref="S374:S437">D374/(C374+D374)</f>
        <v>0.553727816016483</v>
      </c>
      <c r="T374" s="179">
        <f aca="true" t="shared" si="153" ref="T374:T437">B374/E374</f>
        <v>0.9892987019872518</v>
      </c>
      <c r="U374" s="181">
        <f aca="true" t="shared" si="154" ref="U374:U437">Q374*100</f>
        <v>0.5925606377140662</v>
      </c>
      <c r="V374">
        <f>IF(ISNUMBER('Set-up'!C429)=FALSE,"",('Set-up'!C429-'EPP model'!U374)^2)</f>
      </c>
    </row>
    <row r="375" spans="1:22" ht="12.75">
      <c r="A375" s="91">
        <f t="shared" si="143"/>
        <v>2017.1999999999662</v>
      </c>
      <c r="B375" s="171">
        <f t="shared" si="138"/>
        <v>33.84697101319657</v>
      </c>
      <c r="C375" s="171">
        <f t="shared" si="139"/>
        <v>0.16394500960043687</v>
      </c>
      <c r="D375" s="172">
        <f t="shared" si="140"/>
        <v>0.20217080455828773</v>
      </c>
      <c r="E375" s="171">
        <f t="shared" si="147"/>
        <v>34.2130868273553</v>
      </c>
      <c r="F375" s="171"/>
      <c r="G375" s="171">
        <f t="shared" si="135"/>
        <v>0.10221330755106534</v>
      </c>
      <c r="H375" s="171">
        <f t="shared" si="136"/>
        <v>0.10193788565452122</v>
      </c>
      <c r="I375" s="91">
        <f t="shared" si="144"/>
        <v>0.07436536527750742</v>
      </c>
      <c r="J375" s="91">
        <f t="shared" si="145"/>
        <v>29.745695056150083</v>
      </c>
      <c r="K375" s="172">
        <f t="shared" si="141"/>
        <v>0.05083787562322862</v>
      </c>
      <c r="L375" s="177">
        <f t="shared" si="148"/>
        <v>30.284207855208642</v>
      </c>
      <c r="M375" s="178">
        <f t="shared" si="149"/>
        <v>0.17577224563201474</v>
      </c>
      <c r="N375" s="403">
        <f t="shared" si="137"/>
        <v>0</v>
      </c>
      <c r="O375" s="177">
        <f t="shared" si="142"/>
        <v>0.002886024294838377</v>
      </c>
      <c r="P375" s="174">
        <f t="shared" si="146"/>
        <v>0.003028420785520864</v>
      </c>
      <c r="Q375" s="179">
        <f t="shared" si="150"/>
        <v>0.005909165857453141</v>
      </c>
      <c r="R375" s="179">
        <f t="shared" si="151"/>
        <v>0.010701045947891329</v>
      </c>
      <c r="S375" s="180">
        <f t="shared" si="152"/>
        <v>0.552204512178322</v>
      </c>
      <c r="T375" s="179">
        <f t="shared" si="153"/>
        <v>0.9892989540521087</v>
      </c>
      <c r="U375" s="181">
        <f t="shared" si="154"/>
        <v>0.590916585745314</v>
      </c>
      <c r="V375">
        <f>IF(ISNUMBER('Set-up'!C430)=FALSE,"",('Set-up'!C430-'EPP model'!U375)^2)</f>
      </c>
    </row>
    <row r="376" spans="1:22" ht="12.75">
      <c r="A376" s="91">
        <f t="shared" si="143"/>
        <v>2017.299999999966</v>
      </c>
      <c r="B376" s="171">
        <f t="shared" si="138"/>
        <v>33.775775382518326</v>
      </c>
      <c r="C376" s="171">
        <f t="shared" si="139"/>
        <v>0.16415918151643177</v>
      </c>
      <c r="D376" s="172">
        <f t="shared" si="140"/>
        <v>0.20117813326971973</v>
      </c>
      <c r="E376" s="171">
        <f t="shared" si="147"/>
        <v>34.14111269730448</v>
      </c>
      <c r="F376" s="171"/>
      <c r="G376" s="171">
        <f t="shared" si="135"/>
        <v>0.10199828123883202</v>
      </c>
      <c r="H376" s="171">
        <f t="shared" si="136"/>
        <v>0.10172421168101722</v>
      </c>
      <c r="I376" s="91">
        <f t="shared" si="144"/>
        <v>0.07421303313880363</v>
      </c>
      <c r="J376" s="91">
        <f t="shared" si="145"/>
        <v>29.745695056150083</v>
      </c>
      <c r="K376" s="172">
        <f t="shared" si="141"/>
        <v>0.05095964325003404</v>
      </c>
      <c r="L376" s="177">
        <f t="shared" si="148"/>
        <v>30.307386765693927</v>
      </c>
      <c r="M376" s="178">
        <f t="shared" si="149"/>
        <v>0.17527792539342368</v>
      </c>
      <c r="N376" s="403">
        <f t="shared" si="137"/>
        <v>0</v>
      </c>
      <c r="O376" s="177">
        <f t="shared" si="142"/>
        <v>0.0028816982497631006</v>
      </c>
      <c r="P376" s="174">
        <f t="shared" si="146"/>
        <v>0.003030738676569393</v>
      </c>
      <c r="Q376" s="179">
        <f t="shared" si="150"/>
        <v>0.005892547646392416</v>
      </c>
      <c r="R376" s="179">
        <f t="shared" si="151"/>
        <v>0.010700802812879492</v>
      </c>
      <c r="S376" s="180">
        <f t="shared" si="152"/>
        <v>0.5506640716059306</v>
      </c>
      <c r="T376" s="179">
        <f t="shared" si="153"/>
        <v>0.9892991971871204</v>
      </c>
      <c r="U376" s="181">
        <f t="shared" si="154"/>
        <v>0.5892547646392415</v>
      </c>
      <c r="V376">
        <f>IF(ISNUMBER('Set-up'!C431)=FALSE,"",('Set-up'!C431-'EPP model'!U376)^2)</f>
      </c>
    </row>
    <row r="377" spans="1:22" ht="12.75">
      <c r="A377" s="91">
        <f t="shared" si="143"/>
        <v>2017.399999999966</v>
      </c>
      <c r="B377" s="171">
        <f t="shared" si="138"/>
        <v>33.70472457565122</v>
      </c>
      <c r="C377" s="171">
        <f t="shared" si="139"/>
        <v>0.16437777378073865</v>
      </c>
      <c r="D377" s="172">
        <f t="shared" si="140"/>
        <v>0.20018294757864696</v>
      </c>
      <c r="E377" s="171">
        <f t="shared" si="147"/>
        <v>34.0692852970106</v>
      </c>
      <c r="F377" s="171"/>
      <c r="G377" s="171">
        <f t="shared" si="135"/>
        <v>0.10178369328908404</v>
      </c>
      <c r="H377" s="171">
        <f t="shared" si="136"/>
        <v>0.10151097949542645</v>
      </c>
      <c r="I377" s="91">
        <f t="shared" si="144"/>
        <v>0.07406091749230573</v>
      </c>
      <c r="J377" s="91">
        <f t="shared" si="145"/>
        <v>29.745695056150083</v>
      </c>
      <c r="K377" s="172">
        <f t="shared" si="141"/>
        <v>0.05107735850793053</v>
      </c>
      <c r="L377" s="177">
        <f t="shared" si="148"/>
        <v>30.327321885262158</v>
      </c>
      <c r="M377" s="178">
        <f t="shared" si="149"/>
        <v>0.1747785685025272</v>
      </c>
      <c r="N377" s="403">
        <f t="shared" si="137"/>
        <v>0</v>
      </c>
      <c r="O377" s="177">
        <f t="shared" si="142"/>
        <v>0.002877348077048263</v>
      </c>
      <c r="P377" s="174">
        <f t="shared" si="146"/>
        <v>0.0030327321885262157</v>
      </c>
      <c r="Q377" s="179">
        <f t="shared" si="150"/>
        <v>0.005875760111592712</v>
      </c>
      <c r="R377" s="179">
        <f t="shared" si="151"/>
        <v>0.010700568508590753</v>
      </c>
      <c r="S377" s="180">
        <f t="shared" si="152"/>
        <v>0.5491072840546245</v>
      </c>
      <c r="T377" s="179">
        <f t="shared" si="153"/>
        <v>0.9892994314914093</v>
      </c>
      <c r="U377" s="181">
        <f t="shared" si="154"/>
        <v>0.5875760111592713</v>
      </c>
      <c r="V377">
        <f>IF(ISNUMBER('Set-up'!C432)=FALSE,"",('Set-up'!C432-'EPP model'!U377)^2)</f>
      </c>
    </row>
    <row r="378" spans="1:22" ht="12.75">
      <c r="A378" s="91">
        <f t="shared" si="143"/>
        <v>2017.499999999966</v>
      </c>
      <c r="B378" s="171">
        <f t="shared" si="138"/>
        <v>33.6338185257383</v>
      </c>
      <c r="C378" s="171">
        <f t="shared" si="139"/>
        <v>0.164600471862971</v>
      </c>
      <c r="D378" s="172">
        <f t="shared" si="140"/>
        <v>0.19918555568041296</v>
      </c>
      <c r="E378" s="171">
        <f t="shared" si="147"/>
        <v>33.99760455328168</v>
      </c>
      <c r="F378" s="171"/>
      <c r="G378" s="171">
        <f t="shared" si="135"/>
        <v>0.10156954348315671</v>
      </c>
      <c r="H378" s="171">
        <f t="shared" si="136"/>
        <v>0.10129818845922259</v>
      </c>
      <c r="I378" s="91">
        <f t="shared" si="144"/>
        <v>0.07390901823999756</v>
      </c>
      <c r="J378" s="91">
        <f t="shared" si="145"/>
        <v>29.745695056150083</v>
      </c>
      <c r="K378" s="172">
        <f t="shared" si="141"/>
        <v>0.05119104171814519</v>
      </c>
      <c r="L378" s="177">
        <f t="shared" si="148"/>
        <v>30.34405094972503</v>
      </c>
      <c r="M378" s="178">
        <f t="shared" si="149"/>
        <v>0.17427441952781506</v>
      </c>
      <c r="N378" s="403">
        <f t="shared" si="137"/>
        <v>0</v>
      </c>
      <c r="O378" s="177">
        <f t="shared" si="142"/>
        <v>0.002872971199502975</v>
      </c>
      <c r="P378" s="174">
        <f t="shared" si="146"/>
        <v>0.003034405094972503</v>
      </c>
      <c r="Q378" s="179">
        <f t="shared" si="150"/>
        <v>0.005858811475033355</v>
      </c>
      <c r="R378" s="179">
        <f t="shared" si="151"/>
        <v>0.010700342930727713</v>
      </c>
      <c r="S378" s="180">
        <f t="shared" si="152"/>
        <v>0.5475349260264228</v>
      </c>
      <c r="T378" s="179">
        <f t="shared" si="153"/>
        <v>0.9892996570692723</v>
      </c>
      <c r="U378" s="181">
        <f t="shared" si="154"/>
        <v>0.5858811475033355</v>
      </c>
      <c r="V378">
        <f>IF(ISNUMBER('Set-up'!C433)=FALSE,"",('Set-up'!C433-'EPP model'!U378)^2)</f>
      </c>
    </row>
    <row r="379" spans="1:22" ht="12.75">
      <c r="A379" s="91">
        <f t="shared" si="143"/>
        <v>2017.5999999999658</v>
      </c>
      <c r="B379" s="171">
        <f t="shared" si="138"/>
        <v>33.563057163724764</v>
      </c>
      <c r="C379" s="171">
        <f t="shared" si="139"/>
        <v>0.16482696875658379</v>
      </c>
      <c r="D379" s="172">
        <f t="shared" si="140"/>
        <v>0.19818625825885508</v>
      </c>
      <c r="E379" s="171">
        <f t="shared" si="147"/>
        <v>33.92607039074021</v>
      </c>
      <c r="F379" s="171"/>
      <c r="G379" s="171">
        <f t="shared" si="135"/>
        <v>0.10135583159585591</v>
      </c>
      <c r="H379" s="171">
        <f t="shared" si="136"/>
        <v>0.10108583793758319</v>
      </c>
      <c r="I379" s="91">
        <f t="shared" si="144"/>
        <v>0.07375733666370034</v>
      </c>
      <c r="J379" s="91">
        <f t="shared" si="145"/>
        <v>29.745695056150083</v>
      </c>
      <c r="K379" s="172">
        <f t="shared" si="141"/>
        <v>0.051300717047143306</v>
      </c>
      <c r="L379" s="177">
        <f t="shared" si="148"/>
        <v>30.357613679648036</v>
      </c>
      <c r="M379" s="178">
        <f t="shared" si="149"/>
        <v>0.17376571865205892</v>
      </c>
      <c r="N379" s="403">
        <f t="shared" si="137"/>
        <v>0</v>
      </c>
      <c r="O379" s="177">
        <f t="shared" si="142"/>
        <v>0.0028685651687923724</v>
      </c>
      <c r="P379" s="174">
        <f t="shared" si="146"/>
        <v>0.0030357613679648037</v>
      </c>
      <c r="Q379" s="179">
        <f t="shared" si="150"/>
        <v>0.005841709811253239</v>
      </c>
      <c r="R379" s="179">
        <f t="shared" si="151"/>
        <v>0.010700125974935188</v>
      </c>
      <c r="S379" s="180">
        <f t="shared" si="152"/>
        <v>0.5459477603289267</v>
      </c>
      <c r="T379" s="179">
        <f t="shared" si="153"/>
        <v>0.9892998740250647</v>
      </c>
      <c r="U379" s="181">
        <f t="shared" si="154"/>
        <v>0.5841709811253238</v>
      </c>
      <c r="V379">
        <f>IF(ISNUMBER('Set-up'!C434)=FALSE,"",('Set-up'!C434-'EPP model'!U379)^2)</f>
      </c>
    </row>
    <row r="380" spans="1:22" ht="12.75">
      <c r="A380" s="91">
        <f t="shared" si="143"/>
        <v>2017.6999999999657</v>
      </c>
      <c r="B380" s="171">
        <f t="shared" si="138"/>
        <v>33.4924404183007</v>
      </c>
      <c r="C380" s="171">
        <f t="shared" si="139"/>
        <v>0.16505696489665217</v>
      </c>
      <c r="D380" s="172">
        <f t="shared" si="140"/>
        <v>0.197185348450601</v>
      </c>
      <c r="E380" s="171">
        <f t="shared" si="147"/>
        <v>33.854682731647955</v>
      </c>
      <c r="F380" s="171"/>
      <c r="G380" s="171">
        <f t="shared" si="135"/>
        <v>0.10114255739493486</v>
      </c>
      <c r="H380" s="171">
        <f t="shared" si="136"/>
        <v>0.10087392729891467</v>
      </c>
      <c r="I380" s="91">
        <f t="shared" si="144"/>
        <v>0.07360587405934724</v>
      </c>
      <c r="J380" s="91">
        <f t="shared" si="145"/>
        <v>29.745695056150083</v>
      </c>
      <c r="K380" s="172">
        <f t="shared" si="141"/>
        <v>0.051406410009264256</v>
      </c>
      <c r="L380" s="177">
        <f t="shared" si="148"/>
        <v>30.368051900355177</v>
      </c>
      <c r="M380" s="178">
        <f t="shared" si="149"/>
        <v>0.1732527015847406</v>
      </c>
      <c r="N380" s="403">
        <f t="shared" si="137"/>
        <v>0</v>
      </c>
      <c r="O380" s="177">
        <f t="shared" si="142"/>
        <v>0.0028641276679228244</v>
      </c>
      <c r="P380" s="174">
        <f t="shared" si="146"/>
        <v>0.0030368051900355178</v>
      </c>
      <c r="Q380" s="179">
        <f t="shared" si="150"/>
        <v>0.0058244630444068135</v>
      </c>
      <c r="R380" s="179">
        <f t="shared" si="151"/>
        <v>0.010699917533376341</v>
      </c>
      <c r="S380" s="180">
        <f t="shared" si="152"/>
        <v>0.5443465359652088</v>
      </c>
      <c r="T380" s="179">
        <f t="shared" si="153"/>
        <v>0.9893000824666237</v>
      </c>
      <c r="U380" s="181">
        <f t="shared" si="154"/>
        <v>0.5824463044406814</v>
      </c>
      <c r="V380">
        <f>IF(ISNUMBER('Set-up'!C435)=FALSE,"",('Set-up'!C435-'EPP model'!U380)^2)</f>
      </c>
    </row>
    <row r="381" spans="1:22" ht="12.75">
      <c r="A381" s="91">
        <f t="shared" si="143"/>
        <v>2017.7999999999656</v>
      </c>
      <c r="B381" s="171">
        <f t="shared" si="138"/>
        <v>33.42196821571016</v>
      </c>
      <c r="C381" s="171">
        <f t="shared" si="139"/>
        <v>0.16529016819982004</v>
      </c>
      <c r="D381" s="172">
        <f t="shared" si="140"/>
        <v>0.19618311179464448</v>
      </c>
      <c r="E381" s="171">
        <f t="shared" si="147"/>
        <v>33.78344149570462</v>
      </c>
      <c r="F381" s="171"/>
      <c r="G381" s="171">
        <f t="shared" si="135"/>
        <v>0.10092972064049235</v>
      </c>
      <c r="H381" s="171">
        <f t="shared" si="136"/>
        <v>0.10066245591431958</v>
      </c>
      <c r="I381" s="91">
        <f t="shared" si="144"/>
        <v>0.07345463172210166</v>
      </c>
      <c r="J381" s="91">
        <f t="shared" si="145"/>
        <v>29.745695056150083</v>
      </c>
      <c r="K381" s="172">
        <f t="shared" si="141"/>
        <v>0.05150814911036566</v>
      </c>
      <c r="L381" s="177">
        <f t="shared" si="148"/>
        <v>30.37540957780315</v>
      </c>
      <c r="M381" s="178">
        <f t="shared" si="149"/>
        <v>0.17273559946082048</v>
      </c>
      <c r="N381" s="403">
        <f t="shared" si="137"/>
        <v>0</v>
      </c>
      <c r="O381" s="177">
        <f t="shared" si="142"/>
        <v>0.0028596565083722682</v>
      </c>
      <c r="P381" s="174">
        <f t="shared" si="146"/>
        <v>0.003037540957780315</v>
      </c>
      <c r="Q381" s="179">
        <f t="shared" si="150"/>
        <v>0.005807078944860845</v>
      </c>
      <c r="R381" s="179">
        <f t="shared" si="151"/>
        <v>0.010699717494454314</v>
      </c>
      <c r="S381" s="180">
        <f t="shared" si="152"/>
        <v>0.5427319878184322</v>
      </c>
      <c r="T381" s="179">
        <f t="shared" si="153"/>
        <v>0.9893002825055457</v>
      </c>
      <c r="U381" s="181">
        <f t="shared" si="154"/>
        <v>0.5807078944860845</v>
      </c>
      <c r="V381">
        <f>IF(ISNUMBER('Set-up'!C436)=FALSE,"",('Set-up'!C436-'EPP model'!U381)^2)</f>
      </c>
    </row>
    <row r="382" spans="1:22" ht="12.75">
      <c r="A382" s="91">
        <f t="shared" si="143"/>
        <v>2017.8999999999655</v>
      </c>
      <c r="B382" s="171">
        <f t="shared" si="138"/>
        <v>33.3516404794774</v>
      </c>
      <c r="C382" s="171">
        <f t="shared" si="139"/>
        <v>0.16552629410776215</v>
      </c>
      <c r="D382" s="172">
        <f t="shared" si="140"/>
        <v>0.19517982617735197</v>
      </c>
      <c r="E382" s="171">
        <f t="shared" si="147"/>
        <v>33.71234659976252</v>
      </c>
      <c r="F382" s="171"/>
      <c r="G382" s="171">
        <f t="shared" si="135"/>
        <v>0.10071732108412053</v>
      </c>
      <c r="H382" s="171">
        <f t="shared" si="136"/>
        <v>0.1004514231568191</v>
      </c>
      <c r="I382" s="91">
        <f t="shared" si="144"/>
        <v>0.07330361086517115</v>
      </c>
      <c r="J382" s="91">
        <f t="shared" si="145"/>
        <v>29.745695056150083</v>
      </c>
      <c r="K382" s="172">
        <f t="shared" si="141"/>
        <v>0.05160596596967996</v>
      </c>
      <c r="L382" s="177">
        <f t="shared" si="148"/>
        <v>30.379870300204534</v>
      </c>
      <c r="M382" s="178">
        <f t="shared" si="149"/>
        <v>0.17221463873490162</v>
      </c>
      <c r="N382" s="403">
        <f t="shared" si="137"/>
        <v>0</v>
      </c>
      <c r="O382" s="177">
        <f t="shared" si="142"/>
        <v>0.002855149628897576</v>
      </c>
      <c r="P382" s="174">
        <f t="shared" si="146"/>
        <v>0.0030379870300204534</v>
      </c>
      <c r="Q382" s="179">
        <f t="shared" si="150"/>
        <v>0.005789565125636401</v>
      </c>
      <c r="R382" s="179">
        <f t="shared" si="151"/>
        <v>0.010699525742525886</v>
      </c>
      <c r="S382" s="180">
        <f t="shared" si="152"/>
        <v>0.541104836322365</v>
      </c>
      <c r="T382" s="179">
        <f t="shared" si="153"/>
        <v>0.989300474257474</v>
      </c>
      <c r="U382" s="181">
        <f t="shared" si="154"/>
        <v>0.57895651256364</v>
      </c>
      <c r="V382">
        <f>IF(ISNUMBER('Set-up'!C437)=FALSE,"",('Set-up'!C437-'EPP model'!U382)^2)</f>
      </c>
    </row>
    <row r="383" spans="1:22" ht="12.75">
      <c r="A383" s="91">
        <f t="shared" si="143"/>
        <v>2017.9999999999654</v>
      </c>
      <c r="B383" s="171">
        <f t="shared" si="138"/>
        <v>33.28145713035836</v>
      </c>
      <c r="C383" s="171">
        <f t="shared" si="139"/>
        <v>0.16576506565135082</v>
      </c>
      <c r="D383" s="172">
        <f t="shared" si="140"/>
        <v>0.19417574802809195</v>
      </c>
      <c r="E383" s="171">
        <f t="shared" si="147"/>
        <v>33.641397944037806</v>
      </c>
      <c r="F383" s="171"/>
      <c r="G383" s="171">
        <f t="shared" si="135"/>
        <v>0.10050535842771016</v>
      </c>
      <c r="H383" s="171">
        <f t="shared" si="136"/>
        <v>0.10024082837896442</v>
      </c>
      <c r="I383" s="91">
        <f t="shared" si="144"/>
        <v>0.07315281286331167</v>
      </c>
      <c r="J383" s="91">
        <f t="shared" si="145"/>
        <v>29.745695056150083</v>
      </c>
      <c r="K383" s="172">
        <f t="shared" si="141"/>
        <v>0.05169989544593618</v>
      </c>
      <c r="L383" s="177">
        <f t="shared" si="148"/>
        <v>30.381305303949254</v>
      </c>
      <c r="M383" s="178">
        <f t="shared" si="149"/>
        <v>0.17169002898606087</v>
      </c>
      <c r="N383" s="403">
        <f t="shared" si="137"/>
        <v>0</v>
      </c>
      <c r="O383" s="177">
        <f t="shared" si="142"/>
        <v>0.0028506050940895335</v>
      </c>
      <c r="P383" s="174">
        <f t="shared" si="146"/>
        <v>0.0030381305303949255</v>
      </c>
      <c r="Q383" s="179">
        <f t="shared" si="150"/>
        <v>0.005771928632427872</v>
      </c>
      <c r="R383" s="179">
        <f t="shared" si="151"/>
        <v>0.010699341753817763</v>
      </c>
      <c r="S383" s="180">
        <f t="shared" si="152"/>
        <v>0.5394657695057099</v>
      </c>
      <c r="T383" s="179">
        <f t="shared" si="153"/>
        <v>0.9893006582461822</v>
      </c>
      <c r="U383" s="181">
        <f t="shared" si="154"/>
        <v>0.5771928632427872</v>
      </c>
      <c r="V383">
        <f>IF(ISNUMBER('Set-up'!$N$45)=FALSE,"",('Set-up'!$N$45-'EPP model'!U383)^2)</f>
      </c>
    </row>
    <row r="384" spans="1:22" ht="12.75">
      <c r="A384" s="91">
        <f t="shared" si="143"/>
        <v>2018.0999999999653</v>
      </c>
      <c r="B384" s="171">
        <f t="shared" si="138"/>
        <v>33.21141807157816</v>
      </c>
      <c r="C384" s="171">
        <f t="shared" si="139"/>
        <v>0.16600622818645275</v>
      </c>
      <c r="D384" s="172">
        <f t="shared" si="140"/>
        <v>0.19317114356831722</v>
      </c>
      <c r="E384" s="171">
        <f t="shared" si="147"/>
        <v>33.57059544333293</v>
      </c>
      <c r="F384" s="171"/>
      <c r="G384" s="171">
        <f t="shared" si="135"/>
        <v>0.10029383241672929</v>
      </c>
      <c r="H384" s="171">
        <f t="shared" si="136"/>
        <v>0.10003067096354411</v>
      </c>
      <c r="I384" s="91">
        <f t="shared" si="144"/>
        <v>0.07300223900892716</v>
      </c>
      <c r="J384" s="91">
        <f t="shared" si="145"/>
        <v>29.745695056150083</v>
      </c>
      <c r="K384" s="172">
        <f t="shared" si="141"/>
        <v>0.051790174058074644</v>
      </c>
      <c r="L384" s="177">
        <f t="shared" si="148"/>
        <v>30.379780014260817</v>
      </c>
      <c r="M384" s="178">
        <f t="shared" si="149"/>
        <v>0.17116199025811743</v>
      </c>
      <c r="N384" s="403">
        <f t="shared" si="137"/>
        <v>0</v>
      </c>
      <c r="O384" s="177">
        <f t="shared" si="142"/>
        <v>0.002846020892655671</v>
      </c>
      <c r="P384" s="174">
        <f t="shared" si="146"/>
        <v>0.0030379780014260817</v>
      </c>
      <c r="Q384" s="179">
        <f t="shared" si="150"/>
        <v>0.005754176862736605</v>
      </c>
      <c r="R384" s="179">
        <f t="shared" si="151"/>
        <v>0.01069916595197307</v>
      </c>
      <c r="S384" s="180">
        <f t="shared" si="152"/>
        <v>0.5378154604355359</v>
      </c>
      <c r="T384" s="179">
        <f t="shared" si="153"/>
        <v>0.9893008340480269</v>
      </c>
      <c r="U384" s="181">
        <f t="shared" si="154"/>
        <v>0.5754176862736605</v>
      </c>
      <c r="V384">
        <f>IF(ISNUMBER('Set-up'!C439)=FALSE,"",('Set-up'!C439-'EPP model'!U384)^2)</f>
      </c>
    </row>
    <row r="385" spans="1:22" ht="12.75">
      <c r="A385" s="91">
        <f t="shared" si="143"/>
        <v>2018.1999999999653</v>
      </c>
      <c r="B385" s="171">
        <f t="shared" si="138"/>
        <v>33.14152322281835</v>
      </c>
      <c r="C385" s="171">
        <f t="shared" si="139"/>
        <v>0.16624951475701322</v>
      </c>
      <c r="D385" s="172">
        <f t="shared" si="140"/>
        <v>0.19216626997956818</v>
      </c>
      <c r="E385" s="171">
        <f t="shared" si="147"/>
        <v>33.49993900755493</v>
      </c>
      <c r="F385" s="171"/>
      <c r="G385" s="171">
        <f t="shared" si="135"/>
        <v>0.10008274278202074</v>
      </c>
      <c r="H385" s="171">
        <f t="shared" si="136"/>
        <v>0.09982095029103663</v>
      </c>
      <c r="I385" s="91">
        <f t="shared" si="144"/>
        <v>0.07285189059263256</v>
      </c>
      <c r="J385" s="91">
        <f t="shared" si="145"/>
        <v>29.745695056150083</v>
      </c>
      <c r="K385" s="172">
        <f t="shared" si="141"/>
        <v>0.05187657480166008</v>
      </c>
      <c r="L385" s="177">
        <f t="shared" si="148"/>
        <v>30.37535826598886</v>
      </c>
      <c r="M385" s="178">
        <f t="shared" si="149"/>
        <v>0.1706307365395782</v>
      </c>
      <c r="N385" s="403">
        <f t="shared" si="137"/>
        <v>0</v>
      </c>
      <c r="O385" s="177">
        <f t="shared" si="142"/>
        <v>0.0028413956411636448</v>
      </c>
      <c r="P385" s="174">
        <f t="shared" si="146"/>
        <v>0.003037535826598886</v>
      </c>
      <c r="Q385" s="179">
        <f t="shared" si="150"/>
        <v>0.005736317010494578</v>
      </c>
      <c r="R385" s="179">
        <f t="shared" si="151"/>
        <v>0.010698998128198122</v>
      </c>
      <c r="S385" s="180">
        <f t="shared" si="152"/>
        <v>0.5361545952023326</v>
      </c>
      <c r="T385" s="179">
        <f t="shared" si="153"/>
        <v>0.9893010018718019</v>
      </c>
      <c r="U385" s="181">
        <f t="shared" si="154"/>
        <v>0.5736317010494578</v>
      </c>
      <c r="V385">
        <f>IF(ISNUMBER('Set-up'!C440)=FALSE,"",('Set-up'!C440-'EPP model'!U385)^2)</f>
      </c>
    </row>
    <row r="386" spans="1:22" ht="12.75">
      <c r="A386" s="91">
        <f t="shared" si="143"/>
        <v>2018.2999999999652</v>
      </c>
      <c r="B386" s="171">
        <f t="shared" si="138"/>
        <v>33.07177249740242</v>
      </c>
      <c r="C386" s="171">
        <f t="shared" si="139"/>
        <v>0.1664946691311802</v>
      </c>
      <c r="D386" s="172">
        <f t="shared" si="140"/>
        <v>0.19116137535938887</v>
      </c>
      <c r="E386" s="171">
        <f t="shared" si="147"/>
        <v>33.42942854189299</v>
      </c>
      <c r="F386" s="171"/>
      <c r="G386" s="171">
        <f t="shared" si="135"/>
        <v>0.09987208924033242</v>
      </c>
      <c r="H386" s="171">
        <f t="shared" si="136"/>
        <v>0.09961166574020097</v>
      </c>
      <c r="I386" s="91">
        <f t="shared" si="144"/>
        <v>0.0727017689030679</v>
      </c>
      <c r="J386" s="91">
        <f t="shared" si="145"/>
        <v>29.745695056150083</v>
      </c>
      <c r="K386" s="172">
        <f t="shared" si="141"/>
        <v>0.05195918169537301</v>
      </c>
      <c r="L386" s="177">
        <f t="shared" si="148"/>
        <v>30.36809935947349</v>
      </c>
      <c r="M386" s="178">
        <f t="shared" si="149"/>
        <v>0.17009647564955452</v>
      </c>
      <c r="N386" s="403">
        <f t="shared" si="137"/>
        <v>0</v>
      </c>
      <c r="O386" s="177">
        <f t="shared" si="142"/>
        <v>0.0028367277152336642</v>
      </c>
      <c r="P386" s="174">
        <f t="shared" si="146"/>
        <v>0.003036809935947349</v>
      </c>
      <c r="Q386" s="179">
        <f t="shared" si="150"/>
        <v>0.005718356062229118</v>
      </c>
      <c r="R386" s="179">
        <f t="shared" si="151"/>
        <v>0.010698838122295832</v>
      </c>
      <c r="S386" s="180">
        <f t="shared" si="152"/>
        <v>0.5344838380452132</v>
      </c>
      <c r="T386" s="179">
        <f t="shared" si="153"/>
        <v>0.9893011618777042</v>
      </c>
      <c r="U386" s="181">
        <f t="shared" si="154"/>
        <v>0.5718356062229117</v>
      </c>
      <c r="V386">
        <f>IF(ISNUMBER('Set-up'!C441)=FALSE,"",('Set-up'!C441-'EPP model'!U386)^2)</f>
      </c>
    </row>
    <row r="387" spans="1:22" ht="12.75">
      <c r="A387" s="91">
        <f t="shared" si="143"/>
        <v>2018.399999999965</v>
      </c>
      <c r="B387" s="171">
        <f t="shared" si="138"/>
        <v>33.00216580401115</v>
      </c>
      <c r="C387" s="171">
        <f t="shared" si="139"/>
        <v>0.16674144391236845</v>
      </c>
      <c r="D387" s="172">
        <f t="shared" si="140"/>
        <v>0.19015669936566756</v>
      </c>
      <c r="E387" s="171">
        <f t="shared" si="147"/>
        <v>33.35906394728919</v>
      </c>
      <c r="F387" s="171"/>
      <c r="G387" s="171">
        <f aca="true" t="shared" si="155" ref="G387:G450">E387*b*Solution_interval</f>
        <v>0.09966187149572382</v>
      </c>
      <c r="H387" s="171">
        <f aca="true" t="shared" si="156" ref="H387:H450">b*(B387+C387+(1-v)*e*D387)*Solution_interval</f>
        <v>0.09940281668860523</v>
      </c>
      <c r="I387" s="91">
        <f t="shared" si="144"/>
        <v>0.07255187522645877</v>
      </c>
      <c r="J387" s="91">
        <f t="shared" si="145"/>
        <v>29.745695056150083</v>
      </c>
      <c r="K387" s="172">
        <f t="shared" si="141"/>
        <v>0.05203805621068925</v>
      </c>
      <c r="L387" s="177">
        <f t="shared" si="148"/>
        <v>30.358061619203248</v>
      </c>
      <c r="M387" s="178">
        <f t="shared" si="149"/>
        <v>0.16955940973502043</v>
      </c>
      <c r="N387" s="403">
        <f aca="true" t="shared" si="157" ref="N387:N450">IF(ROUND(A387,1)=t0,0.01,0)</f>
        <v>0</v>
      </c>
      <c r="O387" s="177">
        <f t="shared" si="142"/>
        <v>0.0028320156433652433</v>
      </c>
      <c r="P387" s="174">
        <f t="shared" si="146"/>
        <v>0.0030358061619203246</v>
      </c>
      <c r="Q387" s="179">
        <f t="shared" si="150"/>
        <v>0.005700300813779879</v>
      </c>
      <c r="R387" s="179">
        <f t="shared" si="151"/>
        <v>0.010698685785727455</v>
      </c>
      <c r="S387" s="180">
        <f t="shared" si="152"/>
        <v>0.5328038347835531</v>
      </c>
      <c r="T387" s="179">
        <f t="shared" si="153"/>
        <v>0.9893013142142725</v>
      </c>
      <c r="U387" s="181">
        <f t="shared" si="154"/>
        <v>0.5700300813779878</v>
      </c>
      <c r="V387">
        <f>IF(ISNUMBER('Set-up'!C442)=FALSE,"",('Set-up'!C442-'EPP model'!U387)^2)</f>
      </c>
    </row>
    <row r="388" spans="1:22" ht="12.75">
      <c r="A388" s="91">
        <f t="shared" si="143"/>
        <v>2018.499999999965</v>
      </c>
      <c r="B388" s="171">
        <f aca="true" t="shared" si="158" ref="B388:B451">MAX(0,B387+(1-K388)*I388-B387*mu*Solution_interval)</f>
        <v>32.93270304834842</v>
      </c>
      <c r="C388" s="171">
        <f aca="true" t="shared" si="159" ref="C388:C451">MAX(0,C387+K388*I388-(mu+M387+N387)*C387*Solution_interval)</f>
        <v>0.16698960007620456</v>
      </c>
      <c r="D388" s="172">
        <f aca="true" t="shared" si="160" ref="D388:D451">MAX(0,D387-P387+((M387+N387)*C387-mu*D387)*Solution_interval)</f>
        <v>0.18915247347629296</v>
      </c>
      <c r="E388" s="171">
        <f t="shared" si="147"/>
        <v>33.28884512190092</v>
      </c>
      <c r="F388" s="171"/>
      <c r="G388" s="171">
        <f t="shared" si="155"/>
        <v>0.09945208924393512</v>
      </c>
      <c r="H388" s="171">
        <f t="shared" si="156"/>
        <v>0.09919440251664197</v>
      </c>
      <c r="I388" s="91">
        <f t="shared" si="144"/>
        <v>0.07240221219607736</v>
      </c>
      <c r="J388" s="91">
        <f t="shared" si="145"/>
        <v>29.745695056150083</v>
      </c>
      <c r="K388" s="172">
        <f aca="true" t="shared" si="161" ref="K388:K451">EXP(phi*((B387/E387)-(1-fo)))/(EXP(phi*((B387/E387)-(1-fo)))+1/fo-1)</f>
        <v>0.0521132552894954</v>
      </c>
      <c r="L388" s="177">
        <f t="shared" si="148"/>
        <v>30.34530419724089</v>
      </c>
      <c r="M388" s="178">
        <f t="shared" si="149"/>
        <v>0.16901973542604637</v>
      </c>
      <c r="N388" s="403">
        <f t="shared" si="157"/>
        <v>0</v>
      </c>
      <c r="O388" s="177">
        <f aca="true" t="shared" si="162" ref="O388:O451">(M387+N387)*C387*Solution_interval</f>
        <v>0.002827258080814621</v>
      </c>
      <c r="P388" s="174">
        <f t="shared" si="146"/>
        <v>0.003034530419724089</v>
      </c>
      <c r="Q388" s="179">
        <f t="shared" si="150"/>
        <v>0.005682157875517541</v>
      </c>
      <c r="R388" s="179">
        <f t="shared" si="151"/>
        <v>0.010698540975162566</v>
      </c>
      <c r="S388" s="180">
        <f t="shared" si="152"/>
        <v>0.5311152136267067</v>
      </c>
      <c r="T388" s="179">
        <f t="shared" si="153"/>
        <v>0.9893014590248375</v>
      </c>
      <c r="U388" s="181">
        <f t="shared" si="154"/>
        <v>0.5682157875517541</v>
      </c>
      <c r="V388">
        <f>IF(ISNUMBER('Set-up'!C443)=FALSE,"",('Set-up'!C443-'EPP model'!U388)^2)</f>
      </c>
    </row>
    <row r="389" spans="1:22" ht="12.75">
      <c r="A389" s="91">
        <f aca="true" t="shared" si="163" ref="A389:A452">0.1+A388</f>
        <v>2018.599999999965</v>
      </c>
      <c r="B389" s="171">
        <f t="shared" si="158"/>
        <v>32.86338413076846</v>
      </c>
      <c r="C389" s="171">
        <f t="shared" si="159"/>
        <v>0.16723890653551457</v>
      </c>
      <c r="D389" s="172">
        <f t="shared" si="160"/>
        <v>0.18814892106016465</v>
      </c>
      <c r="E389" s="171">
        <f t="shared" si="147"/>
        <v>33.21877195836414</v>
      </c>
      <c r="F389" s="171"/>
      <c r="G389" s="171">
        <f t="shared" si="155"/>
        <v>0.09924274216421079</v>
      </c>
      <c r="H389" s="171">
        <f t="shared" si="156"/>
        <v>0.09898642259925514</v>
      </c>
      <c r="I389" s="91">
        <f t="shared" si="144"/>
        <v>0.07225277977954095</v>
      </c>
      <c r="J389" s="91">
        <f t="shared" si="145"/>
        <v>29.745695056150083</v>
      </c>
      <c r="K389" s="172">
        <f t="shared" si="161"/>
        <v>0.05218483444890194</v>
      </c>
      <c r="L389" s="177">
        <f t="shared" si="148"/>
        <v>30.329887081351146</v>
      </c>
      <c r="M389" s="178">
        <f t="shared" si="149"/>
        <v>0.16847764384589603</v>
      </c>
      <c r="N389" s="403">
        <f t="shared" si="157"/>
        <v>0</v>
      </c>
      <c r="O389" s="177">
        <f t="shared" si="162"/>
        <v>0.0028224538023781387</v>
      </c>
      <c r="P389" s="174">
        <f t="shared" si="146"/>
        <v>0.0030329887081351147</v>
      </c>
      <c r="Q389" s="179">
        <f t="shared" si="150"/>
        <v>0.005663933672683247</v>
      </c>
      <c r="R389" s="179">
        <f t="shared" si="151"/>
        <v>0.010698403542464378</v>
      </c>
      <c r="S389" s="180">
        <f t="shared" si="152"/>
        <v>0.5294185856984939</v>
      </c>
      <c r="T389" s="179">
        <f t="shared" si="153"/>
        <v>0.9893015964575357</v>
      </c>
      <c r="U389" s="181">
        <f t="shared" si="154"/>
        <v>0.5663933672683247</v>
      </c>
      <c r="V389">
        <f>IF(ISNUMBER('Set-up'!C444)=FALSE,"",('Set-up'!C444-'EPP model'!U389)^2)</f>
      </c>
    </row>
    <row r="390" spans="1:22" ht="12.75">
      <c r="A390" s="91">
        <f t="shared" si="163"/>
        <v>2018.6999999999648</v>
      </c>
      <c r="B390" s="171">
        <f t="shared" si="158"/>
        <v>32.79420894731608</v>
      </c>
      <c r="C390" s="171">
        <f t="shared" si="159"/>
        <v>0.16748914027681086</v>
      </c>
      <c r="D390" s="172">
        <f t="shared" si="160"/>
        <v>0.1871462574379482</v>
      </c>
      <c r="E390" s="171">
        <f t="shared" si="147"/>
        <v>33.14884434503084</v>
      </c>
      <c r="F390" s="171"/>
      <c r="G390" s="171">
        <f t="shared" si="155"/>
        <v>0.09903382992299689</v>
      </c>
      <c r="H390" s="171">
        <f t="shared" si="156"/>
        <v>0.09877887630955452</v>
      </c>
      <c r="I390" s="91">
        <f t="shared" si="144"/>
        <v>0.07210357924241773</v>
      </c>
      <c r="J390" s="91">
        <f t="shared" si="145"/>
        <v>29.745695056150083</v>
      </c>
      <c r="K390" s="172">
        <f t="shared" si="161"/>
        <v>0.052252852680184626</v>
      </c>
      <c r="L390" s="177">
        <f t="shared" si="148"/>
        <v>30.311871545820246</v>
      </c>
      <c r="M390" s="178">
        <f t="shared" si="149"/>
        <v>0.167933320592018</v>
      </c>
      <c r="N390" s="403">
        <f t="shared" si="157"/>
        <v>0</v>
      </c>
      <c r="O390" s="177">
        <f t="shared" si="162"/>
        <v>0.002817601693246752</v>
      </c>
      <c r="P390" s="174">
        <f t="shared" si="146"/>
        <v>0.0030311871545820246</v>
      </c>
      <c r="Q390" s="179">
        <f t="shared" si="150"/>
        <v>0.005645634444749572</v>
      </c>
      <c r="R390" s="179">
        <f t="shared" si="151"/>
        <v>0.010698273340196263</v>
      </c>
      <c r="S390" s="180">
        <f t="shared" si="152"/>
        <v>0.5277145446954903</v>
      </c>
      <c r="T390" s="179">
        <f t="shared" si="153"/>
        <v>0.9893017266598038</v>
      </c>
      <c r="U390" s="181">
        <f t="shared" si="154"/>
        <v>0.5645634444749572</v>
      </c>
      <c r="V390">
        <f>IF(ISNUMBER('Set-up'!C445)=FALSE,"",('Set-up'!C445-'EPP model'!U390)^2)</f>
      </c>
    </row>
    <row r="391" spans="1:22" ht="12.75">
      <c r="A391" s="91">
        <f t="shared" si="163"/>
        <v>2018.7999999999647</v>
      </c>
      <c r="B391" s="171">
        <f t="shared" si="158"/>
        <v>32.72517738974389</v>
      </c>
      <c r="C391" s="171">
        <f t="shared" si="159"/>
        <v>0.1677400862284466</v>
      </c>
      <c r="D391" s="172">
        <f t="shared" si="160"/>
        <v>0.18614468989746671</v>
      </c>
      <c r="E391" s="171">
        <f t="shared" si="147"/>
        <v>33.07906216586981</v>
      </c>
      <c r="F391" s="171"/>
      <c r="G391" s="171">
        <f t="shared" si="155"/>
        <v>0.09882535217364435</v>
      </c>
      <c r="H391" s="171">
        <f t="shared" si="156"/>
        <v>0.09857176301849811</v>
      </c>
      <c r="I391" s="91">
        <f t="shared" si="144"/>
        <v>0.07195461186175901</v>
      </c>
      <c r="J391" s="91">
        <f t="shared" si="145"/>
        <v>29.745695056150083</v>
      </c>
      <c r="K391" s="172">
        <f t="shared" si="161"/>
        <v>0.052317369690879786</v>
      </c>
      <c r="L391" s="177">
        <f t="shared" si="148"/>
        <v>30.29132021519722</v>
      </c>
      <c r="M391" s="178">
        <f t="shared" si="149"/>
        <v>0.16738694568326107</v>
      </c>
      <c r="N391" s="403">
        <f t="shared" si="157"/>
        <v>0</v>
      </c>
      <c r="O391" s="177">
        <f t="shared" si="162"/>
        <v>0.0028127007489787154</v>
      </c>
      <c r="P391" s="174">
        <f t="shared" si="146"/>
        <v>0.003029132021519722</v>
      </c>
      <c r="Q391" s="179">
        <f t="shared" si="150"/>
        <v>0.005627266243646001</v>
      </c>
      <c r="R391" s="179">
        <f t="shared" si="151"/>
        <v>0.010698150218147455</v>
      </c>
      <c r="S391" s="180">
        <f t="shared" si="152"/>
        <v>0.5260036668862971</v>
      </c>
      <c r="T391" s="179">
        <f t="shared" si="153"/>
        <v>0.9893018497818524</v>
      </c>
      <c r="U391" s="181">
        <f t="shared" si="154"/>
        <v>0.5627266243646001</v>
      </c>
      <c r="V391">
        <f>IF(ISNUMBER('Set-up'!C446)=FALSE,"",('Set-up'!C446-'EPP model'!U391)^2)</f>
      </c>
    </row>
    <row r="392" spans="1:22" ht="12.75">
      <c r="A392" s="91">
        <f t="shared" si="163"/>
        <v>2018.8999999999646</v>
      </c>
      <c r="B392" s="171">
        <f t="shared" si="158"/>
        <v>32.65628934539244</v>
      </c>
      <c r="C392" s="171">
        <f t="shared" si="159"/>
        <v>0.16799153725378835</v>
      </c>
      <c r="D392" s="172">
        <f t="shared" si="160"/>
        <v>0.185144417697397</v>
      </c>
      <c r="E392" s="171">
        <f t="shared" si="147"/>
        <v>33.00942530034362</v>
      </c>
      <c r="F392" s="171"/>
      <c r="G392" s="171">
        <f t="shared" si="155"/>
        <v>0.0986173085560416</v>
      </c>
      <c r="H392" s="171">
        <f t="shared" si="156"/>
        <v>0.09836508209451972</v>
      </c>
      <c r="I392" s="91">
        <f t="shared" si="144"/>
        <v>0.07180587890830797</v>
      </c>
      <c r="J392" s="91">
        <f t="shared" si="145"/>
        <v>29.745695056150083</v>
      </c>
      <c r="K392" s="172">
        <f t="shared" si="161"/>
        <v>0.0523784475840048</v>
      </c>
      <c r="L392" s="177">
        <f t="shared" si="148"/>
        <v>30.268297046359983</v>
      </c>
      <c r="M392" s="178">
        <f t="shared" si="149"/>
        <v>0.1668386934963669</v>
      </c>
      <c r="N392" s="403">
        <f t="shared" si="157"/>
        <v>0</v>
      </c>
      <c r="O392" s="177">
        <f t="shared" si="162"/>
        <v>0.0028077500702426523</v>
      </c>
      <c r="P392" s="174">
        <f t="shared" si="146"/>
        <v>0.0030268297046359984</v>
      </c>
      <c r="Q392" s="179">
        <f t="shared" si="150"/>
        <v>0.005608834931623899</v>
      </c>
      <c r="R392" s="179">
        <f t="shared" si="151"/>
        <v>0.01069803402325545</v>
      </c>
      <c r="S392" s="180">
        <f t="shared" si="152"/>
        <v>0.5242865109076471</v>
      </c>
      <c r="T392" s="179">
        <f t="shared" si="153"/>
        <v>0.9893019659767446</v>
      </c>
      <c r="U392" s="181">
        <f t="shared" si="154"/>
        <v>0.5608834931623898</v>
      </c>
      <c r="V392">
        <f>IF(ISNUMBER('Set-up'!C447)=FALSE,"",('Set-up'!C447-'EPP model'!U392)^2)</f>
      </c>
    </row>
    <row r="393" spans="1:22" ht="12.75">
      <c r="A393" s="91">
        <f t="shared" si="163"/>
        <v>2018.9999999999645</v>
      </c>
      <c r="B393" s="171">
        <f t="shared" si="158"/>
        <v>32.5875446969842</v>
      </c>
      <c r="C393" s="171">
        <f t="shared" si="159"/>
        <v>0.16824329414153702</v>
      </c>
      <c r="D393" s="172">
        <f t="shared" si="160"/>
        <v>0.18414563206931292</v>
      </c>
      <c r="E393" s="171">
        <f t="shared" si="147"/>
        <v>32.93993362319505</v>
      </c>
      <c r="F393" s="171"/>
      <c r="G393" s="171">
        <f t="shared" si="155"/>
        <v>0.09840969869597639</v>
      </c>
      <c r="H393" s="171">
        <f t="shared" si="156"/>
        <v>0.09815883290288796</v>
      </c>
      <c r="I393" s="91">
        <f t="shared" si="144"/>
        <v>0.07165738155355973</v>
      </c>
      <c r="J393" s="91">
        <f t="shared" si="145"/>
        <v>29.745695056150083</v>
      </c>
      <c r="K393" s="172">
        <f t="shared" si="161"/>
        <v>0.05243615086151627</v>
      </c>
      <c r="L393" s="177">
        <f t="shared" si="148"/>
        <v>30.242971151429003</v>
      </c>
      <c r="M393" s="178">
        <f t="shared" si="149"/>
        <v>0.16628873270098873</v>
      </c>
      <c r="N393" s="403">
        <f t="shared" si="157"/>
        <v>0</v>
      </c>
      <c r="O393" s="177">
        <f t="shared" si="162"/>
        <v>0.00280274885938683</v>
      </c>
      <c r="P393" s="174">
        <f t="shared" si="146"/>
        <v>0.0030242971151429004</v>
      </c>
      <c r="Q393" s="179">
        <f t="shared" si="150"/>
        <v>0.005590346179071975</v>
      </c>
      <c r="R393" s="179">
        <f t="shared" si="151"/>
        <v>0.010697924599420292</v>
      </c>
      <c r="S393" s="180">
        <f t="shared" si="152"/>
        <v>0.5225636175613828</v>
      </c>
      <c r="T393" s="179">
        <f t="shared" si="153"/>
        <v>0.9893020754005797</v>
      </c>
      <c r="U393" s="181">
        <f t="shared" si="154"/>
        <v>0.5590346179071974</v>
      </c>
      <c r="V393">
        <f>IF(ISNUMBER('Set-up'!$N$46)=FALSE,"",('Set-up'!$N$46-'EPP model'!U393)^2)</f>
      </c>
    </row>
    <row r="394" spans="1:22" ht="12.75">
      <c r="A394" s="91">
        <f t="shared" si="163"/>
        <v>2019.0999999999644</v>
      </c>
      <c r="B394" s="171">
        <f t="shared" si="158"/>
        <v>32.51894332267971</v>
      </c>
      <c r="C394" s="171">
        <f t="shared" si="159"/>
        <v>0.16849516561659547</v>
      </c>
      <c r="D394" s="172">
        <f t="shared" si="160"/>
        <v>0.1831485058338131</v>
      </c>
      <c r="E394" s="171">
        <f t="shared" si="147"/>
        <v>32.87058699413012</v>
      </c>
      <c r="F394" s="171"/>
      <c r="G394" s="171">
        <f t="shared" si="155"/>
        <v>0.09820252217431347</v>
      </c>
      <c r="H394" s="171">
        <f t="shared" si="156"/>
        <v>0.09795301478903012</v>
      </c>
      <c r="I394" s="91">
        <f t="shared" si="144"/>
        <v>0.07150912114788302</v>
      </c>
      <c r="J394" s="91">
        <f t="shared" si="145"/>
        <v>29.745695056150083</v>
      </c>
      <c r="K394" s="172">
        <f t="shared" si="161"/>
        <v>0.05249054648016824</v>
      </c>
      <c r="L394" s="177">
        <f t="shared" si="148"/>
        <v>30.215267996613633</v>
      </c>
      <c r="M394" s="178">
        <f t="shared" si="149"/>
        <v>0.16573721684662907</v>
      </c>
      <c r="N394" s="403">
        <f t="shared" si="157"/>
        <v>0</v>
      </c>
      <c r="O394" s="177">
        <f t="shared" si="162"/>
        <v>0.0027976964168235875</v>
      </c>
      <c r="P394" s="174">
        <f t="shared" si="146"/>
        <v>0.0030215267996613632</v>
      </c>
      <c r="Q394" s="179">
        <f t="shared" si="150"/>
        <v>0.005571805148065013</v>
      </c>
      <c r="R394" s="179">
        <f t="shared" si="151"/>
        <v>0.010697821475266123</v>
      </c>
      <c r="S394" s="180">
        <f t="shared" si="152"/>
        <v>0.5208354954274844</v>
      </c>
      <c r="T394" s="179">
        <f t="shared" si="153"/>
        <v>0.9893021785247338</v>
      </c>
      <c r="U394" s="181">
        <f t="shared" si="154"/>
        <v>0.5571805148065013</v>
      </c>
      <c r="V394">
        <f>IF(ISNUMBER('Set-up'!C449)=FALSE,"",('Set-up'!C449-'EPP model'!U394)^2)</f>
      </c>
    </row>
    <row r="395" spans="1:22" ht="12.75">
      <c r="A395" s="91">
        <f t="shared" si="163"/>
        <v>2019.1999999999643</v>
      </c>
      <c r="B395" s="171">
        <f t="shared" si="158"/>
        <v>32.450485084781356</v>
      </c>
      <c r="C395" s="171">
        <f t="shared" si="159"/>
        <v>0.16874697958502494</v>
      </c>
      <c r="D395" s="172">
        <f t="shared" si="160"/>
        <v>0.18215321777932514</v>
      </c>
      <c r="E395" s="171">
        <f t="shared" si="147"/>
        <v>32.8013852821457</v>
      </c>
      <c r="F395" s="171"/>
      <c r="G395" s="171">
        <f t="shared" si="155"/>
        <v>0.0979957785996744</v>
      </c>
      <c r="H395" s="171">
        <f t="shared" si="156"/>
        <v>0.09774762711800028</v>
      </c>
      <c r="I395" s="91">
        <f t="shared" si="144"/>
        <v>0.07136109894169755</v>
      </c>
      <c r="J395" s="91">
        <f t="shared" si="145"/>
        <v>29.745695056150083</v>
      </c>
      <c r="K395" s="172">
        <f t="shared" si="161"/>
        <v>0.05254185925205289</v>
      </c>
      <c r="L395" s="177">
        <f t="shared" si="148"/>
        <v>30.18526970717759</v>
      </c>
      <c r="M395" s="178">
        <f t="shared" si="149"/>
        <v>0.16518430617957927</v>
      </c>
      <c r="N395" s="403">
        <f t="shared" si="157"/>
        <v>0</v>
      </c>
      <c r="O395" s="177">
        <f t="shared" si="162"/>
        <v>0.0027925919801406363</v>
      </c>
      <c r="P395" s="174">
        <f t="shared" si="146"/>
        <v>0.003018526970717759</v>
      </c>
      <c r="Q395" s="179">
        <f t="shared" si="150"/>
        <v>0.005553217225812531</v>
      </c>
      <c r="R395" s="179">
        <f t="shared" si="151"/>
        <v>0.0106977249389327</v>
      </c>
      <c r="S395" s="180">
        <f t="shared" si="152"/>
        <v>0.5191026370104604</v>
      </c>
      <c r="T395" s="179">
        <f t="shared" si="153"/>
        <v>0.9893022750610674</v>
      </c>
      <c r="U395" s="181">
        <f t="shared" si="154"/>
        <v>0.5553217225812531</v>
      </c>
      <c r="V395">
        <f>IF(ISNUMBER('Set-up'!C450)=FALSE,"",('Set-up'!C450-'EPP model'!U395)^2)</f>
      </c>
    </row>
    <row r="396" spans="1:22" ht="12.75">
      <c r="A396" s="91">
        <f t="shared" si="163"/>
        <v>2019.2999999999643</v>
      </c>
      <c r="B396" s="171">
        <f t="shared" si="158"/>
        <v>32.38216985677789</v>
      </c>
      <c r="C396" s="171">
        <f t="shared" si="159"/>
        <v>0.16899855558008778</v>
      </c>
      <c r="D396" s="172">
        <f t="shared" si="160"/>
        <v>0.1811599374585682</v>
      </c>
      <c r="E396" s="171">
        <f t="shared" si="147"/>
        <v>32.73232834981655</v>
      </c>
      <c r="F396" s="171"/>
      <c r="G396" s="171">
        <f t="shared" si="155"/>
        <v>0.09778946756149444</v>
      </c>
      <c r="H396" s="171">
        <f t="shared" si="156"/>
        <v>0.09754266924824806</v>
      </c>
      <c r="I396" s="91">
        <f t="shared" si="144"/>
        <v>0.07121331617724527</v>
      </c>
      <c r="J396" s="91">
        <f t="shared" si="145"/>
        <v>29.745695056150083</v>
      </c>
      <c r="K396" s="172">
        <f t="shared" si="161"/>
        <v>0.052589936973108334</v>
      </c>
      <c r="L396" s="177">
        <f t="shared" si="148"/>
        <v>30.153056113187425</v>
      </c>
      <c r="M396" s="178">
        <f t="shared" si="149"/>
        <v>0.16463015397021066</v>
      </c>
      <c r="N396" s="403">
        <f t="shared" si="157"/>
        <v>0</v>
      </c>
      <c r="O396" s="177">
        <f t="shared" si="162"/>
        <v>0.0027874352742651974</v>
      </c>
      <c r="P396" s="174">
        <f t="shared" si="146"/>
        <v>0.0030153056113187424</v>
      </c>
      <c r="Q396" s="179">
        <f t="shared" si="150"/>
        <v>0.005534587565005395</v>
      </c>
      <c r="R396" s="179">
        <f t="shared" si="151"/>
        <v>0.010697634744966699</v>
      </c>
      <c r="S396" s="180">
        <f t="shared" si="152"/>
        <v>0.5173655389205966</v>
      </c>
      <c r="T396" s="179">
        <f t="shared" si="153"/>
        <v>0.9893023652550333</v>
      </c>
      <c r="U396" s="181">
        <f t="shared" si="154"/>
        <v>0.5534587565005394</v>
      </c>
      <c r="V396">
        <f>IF(ISNUMBER('Set-up'!C451)=FALSE,"",('Set-up'!C451-'EPP model'!U396)^2)</f>
      </c>
    </row>
    <row r="397" spans="1:22" ht="12.75">
      <c r="A397" s="91">
        <f t="shared" si="163"/>
        <v>2019.3999999999642</v>
      </c>
      <c r="B397" s="171">
        <f t="shared" si="158"/>
        <v>32.31399750429153</v>
      </c>
      <c r="C397" s="171">
        <f t="shared" si="159"/>
        <v>0.1692497239964982</v>
      </c>
      <c r="D397" s="172">
        <f t="shared" si="160"/>
        <v>0.1801688252551828</v>
      </c>
      <c r="E397" s="171">
        <f t="shared" si="147"/>
        <v>32.66341605354321</v>
      </c>
      <c r="F397" s="171"/>
      <c r="G397" s="171">
        <f t="shared" si="155"/>
        <v>0.09758358863076302</v>
      </c>
      <c r="H397" s="171">
        <f t="shared" si="156"/>
        <v>0.09733814053226868</v>
      </c>
      <c r="I397" s="91">
        <f t="shared" si="144"/>
        <v>0.07106577408831705</v>
      </c>
      <c r="J397" s="91">
        <f t="shared" si="145"/>
        <v>29.745695056150083</v>
      </c>
      <c r="K397" s="172">
        <f t="shared" si="161"/>
        <v>0.0526348935657138</v>
      </c>
      <c r="L397" s="177">
        <f t="shared" si="148"/>
        <v>30.11870130270029</v>
      </c>
      <c r="M397" s="178">
        <f t="shared" si="149"/>
        <v>0.16407490649111417</v>
      </c>
      <c r="N397" s="403">
        <f t="shared" si="157"/>
        <v>0</v>
      </c>
      <c r="O397" s="177">
        <f t="shared" si="162"/>
        <v>0.002782225822589306</v>
      </c>
      <c r="P397" s="174">
        <f t="shared" si="146"/>
        <v>0.003011870130270029</v>
      </c>
      <c r="Q397" s="179">
        <f t="shared" si="150"/>
        <v>0.005515921083080921</v>
      </c>
      <c r="R397" s="179">
        <f t="shared" si="151"/>
        <v>0.010697550699501235</v>
      </c>
      <c r="S397" s="180">
        <f t="shared" si="152"/>
        <v>0.5156246731635585</v>
      </c>
      <c r="T397" s="179">
        <f t="shared" si="153"/>
        <v>0.9893024493004988</v>
      </c>
      <c r="U397" s="181">
        <f t="shared" si="154"/>
        <v>0.551592108308092</v>
      </c>
      <c r="V397">
        <f>IF(ISNUMBER('Set-up'!C452)=FALSE,"",('Set-up'!C452-'EPP model'!U397)^2)</f>
      </c>
    </row>
    <row r="398" spans="1:22" ht="12.75">
      <c r="A398" s="91">
        <f t="shared" si="163"/>
        <v>2019.499999999964</v>
      </c>
      <c r="B398" s="171">
        <f t="shared" si="158"/>
        <v>32.24596788693308</v>
      </c>
      <c r="C398" s="171">
        <f t="shared" si="159"/>
        <v>0.16950032409832727</v>
      </c>
      <c r="D398" s="172">
        <f t="shared" si="160"/>
        <v>0.17918003311163047</v>
      </c>
      <c r="E398" s="171">
        <f t="shared" si="147"/>
        <v>32.59464824414304</v>
      </c>
      <c r="F398" s="171"/>
      <c r="G398" s="171">
        <f t="shared" si="155"/>
        <v>0.09737814136178954</v>
      </c>
      <c r="H398" s="171">
        <f t="shared" si="156"/>
        <v>0.09713404031737682</v>
      </c>
      <c r="I398" s="91">
        <f t="shared" si="144"/>
        <v>0.07091847389963914</v>
      </c>
      <c r="J398" s="91">
        <f t="shared" si="145"/>
        <v>29.745695056150083</v>
      </c>
      <c r="K398" s="172">
        <f t="shared" si="161"/>
        <v>0.05267681814528491</v>
      </c>
      <c r="L398" s="177">
        <f t="shared" si="148"/>
        <v>30.082277490862527</v>
      </c>
      <c r="M398" s="178">
        <f t="shared" si="149"/>
        <v>0.16351870359721268</v>
      </c>
      <c r="N398" s="403">
        <f t="shared" si="157"/>
        <v>0</v>
      </c>
      <c r="O398" s="177">
        <f t="shared" si="162"/>
        <v>0.002776963263837233</v>
      </c>
      <c r="P398" s="174">
        <f t="shared" si="146"/>
        <v>0.0030082277490862527</v>
      </c>
      <c r="Q398" s="179">
        <f t="shared" si="150"/>
        <v>0.005497222481725278</v>
      </c>
      <c r="R398" s="179">
        <f t="shared" si="151"/>
        <v>0.010697472621831789</v>
      </c>
      <c r="S398" s="180">
        <f t="shared" si="152"/>
        <v>0.5138804908466275</v>
      </c>
      <c r="T398" s="179">
        <f t="shared" si="153"/>
        <v>0.9893025273781683</v>
      </c>
      <c r="U398" s="181">
        <f t="shared" si="154"/>
        <v>0.5497222481725278</v>
      </c>
      <c r="V398">
        <f>IF(ISNUMBER('Set-up'!C453)=FALSE,"",('Set-up'!C453-'EPP model'!U398)^2)</f>
      </c>
    </row>
    <row r="399" spans="1:22" ht="12.75">
      <c r="A399" s="91">
        <f t="shared" si="163"/>
        <v>2019.599999999964</v>
      </c>
      <c r="B399" s="171">
        <f t="shared" si="158"/>
        <v>32.17808085994583</v>
      </c>
      <c r="C399" s="171">
        <f t="shared" si="159"/>
        <v>0.16975020349175124</v>
      </c>
      <c r="D399" s="172">
        <f t="shared" si="160"/>
        <v>0.17819370484065872</v>
      </c>
      <c r="E399" s="171">
        <f t="shared" si="147"/>
        <v>32.52602476827824</v>
      </c>
      <c r="F399" s="171"/>
      <c r="G399" s="171">
        <f t="shared" si="155"/>
        <v>0.09717312529646967</v>
      </c>
      <c r="H399" s="171">
        <f t="shared" si="156"/>
        <v>0.09693036794954878</v>
      </c>
      <c r="I399" s="91">
        <f t="shared" si="144"/>
        <v>0.07077141805334512</v>
      </c>
      <c r="J399" s="91">
        <f t="shared" si="145"/>
        <v>29.745695056150083</v>
      </c>
      <c r="K399" s="172">
        <f t="shared" si="161"/>
        <v>0.0527157940519538</v>
      </c>
      <c r="L399" s="177">
        <f t="shared" si="148"/>
        <v>30.043856788590496</v>
      </c>
      <c r="M399" s="178">
        <f t="shared" si="149"/>
        <v>0.16296167892872296</v>
      </c>
      <c r="N399" s="403">
        <f t="shared" si="157"/>
        <v>0</v>
      </c>
      <c r="O399" s="177">
        <f t="shared" si="162"/>
        <v>0.0027716473255865863</v>
      </c>
      <c r="P399" s="174">
        <f t="shared" si="146"/>
        <v>0.0030043856788590497</v>
      </c>
      <c r="Q399" s="179">
        <f t="shared" si="150"/>
        <v>0.005478496253696709</v>
      </c>
      <c r="R399" s="179">
        <f t="shared" si="151"/>
        <v>0.010697400337459938</v>
      </c>
      <c r="S399" s="180">
        <f t="shared" si="152"/>
        <v>0.5121334231562993</v>
      </c>
      <c r="T399" s="179">
        <f t="shared" si="153"/>
        <v>0.9893025996625401</v>
      </c>
      <c r="U399" s="181">
        <f t="shared" si="154"/>
        <v>0.5478496253696709</v>
      </c>
      <c r="V399">
        <f>IF(ISNUMBER('Set-up'!C454)=FALSE,"",('Set-up'!C454-'EPP model'!U399)^2)</f>
      </c>
    </row>
    <row r="400" spans="1:22" ht="12.75">
      <c r="A400" s="91">
        <f t="shared" si="163"/>
        <v>2019.699999999964</v>
      </c>
      <c r="B400" s="171">
        <f t="shared" si="158"/>
        <v>32.11033627214221</v>
      </c>
      <c r="C400" s="171">
        <f t="shared" si="159"/>
        <v>0.16999921766099774</v>
      </c>
      <c r="D400" s="172">
        <f t="shared" si="160"/>
        <v>0.1772099762502773</v>
      </c>
      <c r="E400" s="171">
        <f t="shared" si="147"/>
        <v>32.45754546605349</v>
      </c>
      <c r="F400" s="171"/>
      <c r="G400" s="171">
        <f t="shared" si="155"/>
        <v>0.09696853995710812</v>
      </c>
      <c r="H400" s="171">
        <f t="shared" si="156"/>
        <v>0.09672712276607491</v>
      </c>
      <c r="I400" s="91">
        <f t="shared" si="144"/>
        <v>0.07062460656139699</v>
      </c>
      <c r="J400" s="91">
        <f t="shared" si="145"/>
        <v>29.745695056150083</v>
      </c>
      <c r="K400" s="172">
        <f t="shared" si="161"/>
        <v>0.05275190225522008</v>
      </c>
      <c r="L400" s="177">
        <f t="shared" si="148"/>
        <v>30.00351113713011</v>
      </c>
      <c r="M400" s="178">
        <f t="shared" si="149"/>
        <v>0.1624039599655308</v>
      </c>
      <c r="N400" s="403">
        <f t="shared" si="157"/>
        <v>0</v>
      </c>
      <c r="O400" s="177">
        <f t="shared" si="162"/>
        <v>0.0027662778159508153</v>
      </c>
      <c r="P400" s="174">
        <f t="shared" si="146"/>
        <v>0.0030003511137130113</v>
      </c>
      <c r="Q400" s="179">
        <f t="shared" si="150"/>
        <v>0.005459746684653546</v>
      </c>
      <c r="R400" s="179">
        <f t="shared" si="151"/>
        <v>0.010697333668512063</v>
      </c>
      <c r="S400" s="180">
        <f t="shared" si="152"/>
        <v>0.5103838819877595</v>
      </c>
      <c r="T400" s="179">
        <f t="shared" si="153"/>
        <v>0.9893026663314879</v>
      </c>
      <c r="U400" s="181">
        <f t="shared" si="154"/>
        <v>0.5459746684653546</v>
      </c>
      <c r="V400">
        <f>IF(ISNUMBER('Set-up'!C455)=FALSE,"",('Set-up'!C455-'EPP model'!U400)^2)</f>
      </c>
    </row>
    <row r="401" spans="1:22" ht="12.75">
      <c r="A401" s="91">
        <f t="shared" si="163"/>
        <v>2019.7999999999638</v>
      </c>
      <c r="B401" s="171">
        <f t="shared" si="158"/>
        <v>32.04273396692356</v>
      </c>
      <c r="C401" s="171">
        <f t="shared" si="159"/>
        <v>0.17024723004112305</v>
      </c>
      <c r="D401" s="172">
        <f t="shared" si="160"/>
        <v>0.17622897526509518</v>
      </c>
      <c r="E401" s="171">
        <f t="shared" si="147"/>
        <v>32.389210172229774</v>
      </c>
      <c r="F401" s="171"/>
      <c r="G401" s="171">
        <f t="shared" si="155"/>
        <v>0.09676438485004507</v>
      </c>
      <c r="H401" s="171">
        <f t="shared" si="156"/>
        <v>0.0965243040990208</v>
      </c>
      <c r="I401" s="91">
        <f t="shared" si="144"/>
        <v>0.07047804060517104</v>
      </c>
      <c r="J401" s="91">
        <f t="shared" si="145"/>
        <v>29.745695056150083</v>
      </c>
      <c r="K401" s="172">
        <f t="shared" si="161"/>
        <v>0.052785226089581985</v>
      </c>
      <c r="L401" s="177">
        <f t="shared" si="148"/>
        <v>29.961312708729956</v>
      </c>
      <c r="M401" s="178">
        <f t="shared" si="149"/>
        <v>0.16184566806102074</v>
      </c>
      <c r="N401" s="403">
        <f t="shared" si="157"/>
        <v>0</v>
      </c>
      <c r="O401" s="177">
        <f t="shared" si="162"/>
        <v>0.002760854613918824</v>
      </c>
      <c r="P401" s="174">
        <f t="shared" si="146"/>
        <v>0.0029961312708729954</v>
      </c>
      <c r="Q401" s="179">
        <f t="shared" si="150"/>
        <v>0.0054409778542915</v>
      </c>
      <c r="R401" s="179">
        <f t="shared" si="151"/>
        <v>0.010697272439303998</v>
      </c>
      <c r="S401" s="180">
        <f t="shared" si="152"/>
        <v>0.5086322597805604</v>
      </c>
      <c r="T401" s="179">
        <f t="shared" si="153"/>
        <v>0.989302727560696</v>
      </c>
      <c r="U401" s="181">
        <f t="shared" si="154"/>
        <v>0.54409778542915</v>
      </c>
      <c r="V401">
        <f>IF(ISNUMBER('Set-up'!C456)=FALSE,"",('Set-up'!C456-'EPP model'!U401)^2)</f>
      </c>
    </row>
    <row r="402" spans="1:22" ht="12.75">
      <c r="A402" s="91">
        <f t="shared" si="163"/>
        <v>2019.8999999999637</v>
      </c>
      <c r="B402" s="171">
        <f t="shared" si="158"/>
        <v>31.975273782393945</v>
      </c>
      <c r="C402" s="171">
        <f t="shared" si="159"/>
        <v>0.17049411183044152</v>
      </c>
      <c r="D402" s="172">
        <f t="shared" si="160"/>
        <v>0.17525082200588188</v>
      </c>
      <c r="E402" s="171">
        <f t="shared" si="147"/>
        <v>32.32101871623026</v>
      </c>
      <c r="F402" s="171"/>
      <c r="G402" s="171">
        <f t="shared" si="155"/>
        <v>0.09656065946567373</v>
      </c>
      <c r="H402" s="171">
        <f t="shared" si="156"/>
        <v>0.0963219112751364</v>
      </c>
      <c r="I402" s="91">
        <f t="shared" si="144"/>
        <v>0.07033172137265996</v>
      </c>
      <c r="J402" s="91">
        <f t="shared" si="145"/>
        <v>29.745695056150083</v>
      </c>
      <c r="K402" s="172">
        <f t="shared" si="161"/>
        <v>0.052815848432536866</v>
      </c>
      <c r="L402" s="177">
        <f t="shared" si="148"/>
        <v>29.917333928016976</v>
      </c>
      <c r="M402" s="178">
        <f t="shared" si="149"/>
        <v>0.1612869184444632</v>
      </c>
      <c r="N402" s="403">
        <f t="shared" si="157"/>
        <v>0</v>
      </c>
      <c r="O402" s="177">
        <f t="shared" si="162"/>
        <v>0.002755377668154384</v>
      </c>
      <c r="P402" s="174">
        <f t="shared" si="146"/>
        <v>0.0029917333928016977</v>
      </c>
      <c r="Q402" s="179">
        <f t="shared" si="150"/>
        <v>0.0054221936364239115</v>
      </c>
      <c r="R402" s="179">
        <f t="shared" si="151"/>
        <v>0.01069721647302858</v>
      </c>
      <c r="S402" s="180">
        <f t="shared" si="152"/>
        <v>0.5068789296818622</v>
      </c>
      <c r="T402" s="179">
        <f t="shared" si="153"/>
        <v>0.9893027835269715</v>
      </c>
      <c r="U402" s="181">
        <f t="shared" si="154"/>
        <v>0.5422193636423911</v>
      </c>
      <c r="V402">
        <f>IF(ISNUMBER('Set-up'!C457)=FALSE,"",('Set-up'!C457-'EPP model'!U402)^2)</f>
      </c>
    </row>
    <row r="403" spans="1:23" ht="12.75">
      <c r="A403" s="91">
        <f t="shared" si="163"/>
        <v>2019.9999999999636</v>
      </c>
      <c r="B403" s="171">
        <f t="shared" si="158"/>
        <v>31.907955551340617</v>
      </c>
      <c r="C403" s="171">
        <f t="shared" si="159"/>
        <v>0.17073974192231892</v>
      </c>
      <c r="D403" s="172">
        <f t="shared" si="160"/>
        <v>0.17427562886066789</v>
      </c>
      <c r="E403" s="171">
        <f t="shared" si="147"/>
        <v>32.25297092212361</v>
      </c>
      <c r="F403" s="171"/>
      <c r="G403" s="171">
        <f t="shared" si="155"/>
        <v>0.0963573632783904</v>
      </c>
      <c r="H403" s="171">
        <f t="shared" si="156"/>
        <v>0.09611994361570916</v>
      </c>
      <c r="I403" s="91">
        <f t="shared" si="144"/>
        <v>0.07018565003804055</v>
      </c>
      <c r="J403" s="91">
        <f t="shared" si="145"/>
        <v>29.745695056150083</v>
      </c>
      <c r="K403" s="172">
        <f t="shared" si="161"/>
        <v>0.05284385331689199</v>
      </c>
      <c r="L403" s="177">
        <f t="shared" si="148"/>
        <v>29.87164741946871</v>
      </c>
      <c r="M403" s="178">
        <f t="shared" si="149"/>
        <v>0.16072782021616297</v>
      </c>
      <c r="N403" s="403">
        <f t="shared" si="157"/>
        <v>0</v>
      </c>
      <c r="O403" s="177">
        <f t="shared" si="162"/>
        <v>0.002749846991005761</v>
      </c>
      <c r="P403" s="174">
        <f t="shared" si="146"/>
        <v>0.002987164741946871</v>
      </c>
      <c r="Q403" s="179">
        <f t="shared" si="150"/>
        <v>0.005403397698818661</v>
      </c>
      <c r="R403" s="179">
        <f t="shared" si="151"/>
        <v>0.010697165591847135</v>
      </c>
      <c r="S403" s="180">
        <f t="shared" si="152"/>
        <v>0.5051242455232132</v>
      </c>
      <c r="T403" s="179">
        <f t="shared" si="153"/>
        <v>0.9893028344081527</v>
      </c>
      <c r="U403" s="181">
        <f t="shared" si="154"/>
        <v>0.540339769881866</v>
      </c>
      <c r="V403">
        <f>IF(ISNUMBER('Set-up'!$N$47)=FALSE,"",('Set-up'!$N$47-'EPP model'!U403)^2)</f>
        <v>0.0013713438023206953</v>
      </c>
      <c r="W403">
        <f>IF(ISNUMBER('Set-up'!$N$47)=FALSE,NA()=FALSE,'Set-up'!$N$47)</f>
        <v>0.5033081104224157</v>
      </c>
    </row>
    <row r="404" spans="1:22" ht="12.75">
      <c r="A404" s="91">
        <f t="shared" si="163"/>
        <v>2020.0999999999635</v>
      </c>
      <c r="B404" s="171">
        <f t="shared" si="158"/>
        <v>31.84077910112218</v>
      </c>
      <c r="C404" s="171">
        <f t="shared" si="159"/>
        <v>0.17098400682924106</v>
      </c>
      <c r="D404" s="172">
        <f t="shared" si="160"/>
        <v>0.17330350055663915</v>
      </c>
      <c r="E404" s="171">
        <f t="shared" si="147"/>
        <v>32.185066608508066</v>
      </c>
      <c r="F404" s="171"/>
      <c r="G404" s="171">
        <f t="shared" si="155"/>
        <v>0.09615449574624829</v>
      </c>
      <c r="H404" s="171">
        <f t="shared" si="156"/>
        <v>0.09591840043612015</v>
      </c>
      <c r="I404" s="91">
        <f t="shared" si="144"/>
        <v>0.07003982765725034</v>
      </c>
      <c r="J404" s="91">
        <f t="shared" si="145"/>
        <v>29.745695056150083</v>
      </c>
      <c r="K404" s="172">
        <f t="shared" si="161"/>
        <v>0.052869325845385076</v>
      </c>
      <c r="L404" s="177">
        <f t="shared" si="148"/>
        <v>29.824400133970933</v>
      </c>
      <c r="M404" s="178">
        <f t="shared" si="149"/>
        <v>0.16016847634419376</v>
      </c>
      <c r="N404" s="403">
        <f t="shared" si="157"/>
        <v>0</v>
      </c>
      <c r="O404" s="177">
        <f t="shared" si="162"/>
        <v>0.002744262654344454</v>
      </c>
      <c r="P404" s="174">
        <f t="shared" si="146"/>
        <v>0.002982440013397093</v>
      </c>
      <c r="Q404" s="179">
        <f t="shared" si="150"/>
        <v>0.005384593503088376</v>
      </c>
      <c r="R404" s="179">
        <f t="shared" si="151"/>
        <v>0.01069711961679981</v>
      </c>
      <c r="S404" s="180">
        <f t="shared" si="152"/>
        <v>0.5033685418111881</v>
      </c>
      <c r="T404" s="179">
        <f t="shared" si="153"/>
        <v>0.9893028803832</v>
      </c>
      <c r="U404" s="181">
        <f t="shared" si="154"/>
        <v>0.5384593503088375</v>
      </c>
      <c r="V404">
        <f>IF(ISNUMBER('Set-up'!C459)=FALSE,"",('Set-up'!C459-'EPP model'!U404)^2)</f>
      </c>
    </row>
    <row r="405" spans="1:22" ht="12.75">
      <c r="A405" s="91">
        <f t="shared" si="163"/>
        <v>2020.1999999999634</v>
      </c>
      <c r="B405" s="171">
        <f t="shared" si="158"/>
        <v>31.77374425385388</v>
      </c>
      <c r="C405" s="171">
        <f t="shared" si="159"/>
        <v>0.1712268006278649</v>
      </c>
      <c r="D405" s="172">
        <f t="shared" si="160"/>
        <v>0.1723345268148163</v>
      </c>
      <c r="E405" s="171">
        <f t="shared" si="147"/>
        <v>32.11730558129656</v>
      </c>
      <c r="F405" s="171"/>
      <c r="G405" s="171">
        <f t="shared" si="155"/>
        <v>0.09595205628940257</v>
      </c>
      <c r="H405" s="171">
        <f t="shared" si="156"/>
        <v>0.09571728103429551</v>
      </c>
      <c r="I405" s="91">
        <f t="shared" si="144"/>
        <v>0.06989425548098196</v>
      </c>
      <c r="J405" s="91">
        <f t="shared" si="145"/>
        <v>29.745695056150083</v>
      </c>
      <c r="K405" s="172">
        <f t="shared" si="161"/>
        <v>0.05289235219733624</v>
      </c>
      <c r="L405" s="177">
        <f t="shared" si="148"/>
        <v>29.775557997670287</v>
      </c>
      <c r="M405" s="178">
        <f t="shared" si="149"/>
        <v>0.1596089768272679</v>
      </c>
      <c r="N405" s="403">
        <f t="shared" si="157"/>
        <v>0</v>
      </c>
      <c r="O405" s="177">
        <f t="shared" si="162"/>
        <v>0.0027386247853064764</v>
      </c>
      <c r="P405" s="174">
        <f t="shared" si="146"/>
        <v>0.002977555799767029</v>
      </c>
      <c r="Q405" s="179">
        <f t="shared" si="150"/>
        <v>0.005365784074837676</v>
      </c>
      <c r="R405" s="179">
        <f t="shared" si="151"/>
        <v>0.010697078139791195</v>
      </c>
      <c r="S405" s="180">
        <f t="shared" si="152"/>
        <v>0.5016121229289642</v>
      </c>
      <c r="T405" s="179">
        <f t="shared" si="153"/>
        <v>0.9893029218602087</v>
      </c>
      <c r="U405" s="181">
        <f t="shared" si="154"/>
        <v>0.5365784074837676</v>
      </c>
      <c r="V405">
        <f>IF(ISNUMBER('Set-up'!C460)=FALSE,"",('Set-up'!C460-'EPP model'!U405)^2)</f>
      </c>
    </row>
    <row r="406" spans="1:22" ht="12.75">
      <c r="A406" s="91">
        <f t="shared" si="163"/>
        <v>2020.2999999999633</v>
      </c>
      <c r="B406" s="171">
        <f t="shared" si="158"/>
        <v>31.706850818328633</v>
      </c>
      <c r="C406" s="171">
        <f t="shared" si="159"/>
        <v>0.1714680329752545</v>
      </c>
      <c r="D406" s="172">
        <f t="shared" si="160"/>
        <v>0.17136880044965339</v>
      </c>
      <c r="E406" s="171">
        <f t="shared" si="147"/>
        <v>32.049687651753544</v>
      </c>
      <c r="F406" s="171"/>
      <c r="G406" s="171">
        <f t="shared" si="155"/>
        <v>0.09575004434399631</v>
      </c>
      <c r="H406" s="171">
        <f t="shared" si="156"/>
        <v>0.0955165847199351</v>
      </c>
      <c r="I406" s="91">
        <f t="shared" si="144"/>
        <v>0.06974893464123148</v>
      </c>
      <c r="J406" s="91">
        <f t="shared" si="145"/>
        <v>29.745695056150083</v>
      </c>
      <c r="K406" s="172">
        <f t="shared" si="161"/>
        <v>0.05291313385528531</v>
      </c>
      <c r="L406" s="177">
        <f t="shared" si="148"/>
        <v>29.72520682385125</v>
      </c>
      <c r="M406" s="178">
        <f t="shared" si="149"/>
        <v>0.15904941526114139</v>
      </c>
      <c r="N406" s="403">
        <f t="shared" si="157"/>
        <v>0</v>
      </c>
      <c r="O406" s="177">
        <f t="shared" si="162"/>
        <v>0.0027329334453620115</v>
      </c>
      <c r="P406" s="174">
        <f t="shared" si="146"/>
        <v>0.0029725206823851247</v>
      </c>
      <c r="Q406" s="179">
        <f t="shared" si="150"/>
        <v>0.005346972560597708</v>
      </c>
      <c r="R406" s="179">
        <f t="shared" si="151"/>
        <v>0.0106970413300159</v>
      </c>
      <c r="S406" s="180">
        <f t="shared" si="152"/>
        <v>0.4998552773273954</v>
      </c>
      <c r="T406" s="179">
        <f t="shared" si="153"/>
        <v>0.989302958669984</v>
      </c>
      <c r="U406" s="181">
        <f t="shared" si="154"/>
        <v>0.5346972560597708</v>
      </c>
      <c r="V406">
        <f>IF(ISNUMBER('Set-up'!C461)=FALSE,"",('Set-up'!C461-'EPP model'!U406)^2)</f>
      </c>
    </row>
    <row r="407" spans="1:22" ht="12.75">
      <c r="A407" s="91">
        <f t="shared" si="163"/>
        <v>2020.3999999999633</v>
      </c>
      <c r="B407" s="171">
        <f t="shared" si="158"/>
        <v>31.6400986102805</v>
      </c>
      <c r="C407" s="171">
        <f t="shared" si="159"/>
        <v>0.17170760847834535</v>
      </c>
      <c r="D407" s="172">
        <f t="shared" si="160"/>
        <v>0.1704064057094681</v>
      </c>
      <c r="E407" s="171">
        <f t="shared" si="147"/>
        <v>31.982212624468314</v>
      </c>
      <c r="F407" s="171"/>
      <c r="G407" s="171">
        <f t="shared" si="155"/>
        <v>0.09554845932623032</v>
      </c>
      <c r="H407" s="171">
        <f t="shared" si="156"/>
        <v>0.09531631079446627</v>
      </c>
      <c r="I407" s="91">
        <f t="shared" si="144"/>
        <v>0.06960386625447951</v>
      </c>
      <c r="J407" s="91">
        <f t="shared" si="145"/>
        <v>29.745695056150083</v>
      </c>
      <c r="K407" s="172">
        <f t="shared" si="161"/>
        <v>0.052931583497014455</v>
      </c>
      <c r="L407" s="177">
        <f t="shared" si="148"/>
        <v>29.67342959207726</v>
      </c>
      <c r="M407" s="178">
        <f t="shared" si="149"/>
        <v>0.15848987808837375</v>
      </c>
      <c r="N407" s="403">
        <f t="shared" si="157"/>
        <v>0</v>
      </c>
      <c r="O407" s="177">
        <f t="shared" si="162"/>
        <v>0.002727189038069234</v>
      </c>
      <c r="P407" s="174">
        <f t="shared" si="146"/>
        <v>0.002967342959207726</v>
      </c>
      <c r="Q407" s="179">
        <f t="shared" si="150"/>
        <v>0.005328161866421243</v>
      </c>
      <c r="R407" s="179">
        <f t="shared" si="151"/>
        <v>0.010697008934462392</v>
      </c>
      <c r="S407" s="180">
        <f t="shared" si="152"/>
        <v>0.49809829075262185</v>
      </c>
      <c r="T407" s="179">
        <f t="shared" si="153"/>
        <v>0.9893029910655375</v>
      </c>
      <c r="U407" s="181">
        <f t="shared" si="154"/>
        <v>0.5328161866421243</v>
      </c>
      <c r="V407">
        <f>IF(ISNUMBER('Set-up'!C462)=FALSE,"",('Set-up'!C462-'EPP model'!U407)^2)</f>
      </c>
    </row>
    <row r="408" spans="1:22" ht="12.75">
      <c r="A408" s="91">
        <f t="shared" si="163"/>
        <v>2020.4999999999632</v>
      </c>
      <c r="B408" s="171">
        <f t="shared" si="158"/>
        <v>31.57348743757628</v>
      </c>
      <c r="C408" s="171">
        <f t="shared" si="159"/>
        <v>0.17194544165239242</v>
      </c>
      <c r="D408" s="172">
        <f t="shared" si="160"/>
        <v>0.16944741842212915</v>
      </c>
      <c r="E408" s="171">
        <f t="shared" si="147"/>
        <v>31.914880297650804</v>
      </c>
      <c r="F408" s="171"/>
      <c r="G408" s="171">
        <f t="shared" si="155"/>
        <v>0.09534730063324667</v>
      </c>
      <c r="H408" s="171">
        <f t="shared" si="156"/>
        <v>0.09511645855172907</v>
      </c>
      <c r="I408" s="91">
        <f t="shared" si="144"/>
        <v>0.06945905142162731</v>
      </c>
      <c r="J408" s="91">
        <f t="shared" si="145"/>
        <v>29.745695056150083</v>
      </c>
      <c r="K408" s="172">
        <f t="shared" si="161"/>
        <v>0.05294782568547975</v>
      </c>
      <c r="L408" s="177">
        <f t="shared" si="148"/>
        <v>29.620302389151963</v>
      </c>
      <c r="M408" s="178">
        <f t="shared" si="149"/>
        <v>0.15793044465241288</v>
      </c>
      <c r="N408" s="403">
        <f t="shared" si="157"/>
        <v>0</v>
      </c>
      <c r="O408" s="177">
        <f t="shared" si="162"/>
        <v>0.0027213917934579166</v>
      </c>
      <c r="P408" s="174">
        <f t="shared" si="146"/>
        <v>0.0029620302389151963</v>
      </c>
      <c r="Q408" s="179">
        <f t="shared" si="150"/>
        <v>0.005309354659700913</v>
      </c>
      <c r="R408" s="179">
        <f t="shared" si="151"/>
        <v>0.010696980746615894</v>
      </c>
      <c r="S408" s="180">
        <f t="shared" si="152"/>
        <v>0.4963414243201835</v>
      </c>
      <c r="T408" s="179">
        <f t="shared" si="153"/>
        <v>0.989303019253384</v>
      </c>
      <c r="U408" s="181">
        <f t="shared" si="154"/>
        <v>0.5309354659700913</v>
      </c>
      <c r="V408">
        <f>IF(ISNUMBER('Set-up'!C463)=FALSE,"",('Set-up'!C463-'EPP model'!U408)^2)</f>
      </c>
    </row>
    <row r="409" spans="1:22" ht="12.75">
      <c r="A409" s="91">
        <f t="shared" si="163"/>
        <v>2020.599999999963</v>
      </c>
      <c r="B409" s="171">
        <f t="shared" si="158"/>
        <v>31.507017101896224</v>
      </c>
      <c r="C409" s="171">
        <f t="shared" si="159"/>
        <v>0.17218145515156172</v>
      </c>
      <c r="D409" s="172">
        <f t="shared" si="160"/>
        <v>0.16849190678361994</v>
      </c>
      <c r="E409" s="171">
        <f t="shared" si="147"/>
        <v>31.847690463831405</v>
      </c>
      <c r="F409" s="171"/>
      <c r="G409" s="171">
        <f t="shared" si="155"/>
        <v>0.09514656764521953</v>
      </c>
      <c r="H409" s="171">
        <f t="shared" si="156"/>
        <v>0.09491702727899273</v>
      </c>
      <c r="I409" s="91">
        <f aca="true" t="shared" si="164" ref="I409:I472">H259*l</f>
        <v>0.06931449122748248</v>
      </c>
      <c r="J409" s="91">
        <f t="shared" si="145"/>
        <v>29.745695056150083</v>
      </c>
      <c r="K409" s="172">
        <f t="shared" si="161"/>
        <v>0.05296196208015213</v>
      </c>
      <c r="L409" s="177">
        <f t="shared" si="148"/>
        <v>29.565898513386443</v>
      </c>
      <c r="M409" s="178">
        <f t="shared" si="149"/>
        <v>0.15737118785133633</v>
      </c>
      <c r="N409" s="403">
        <f t="shared" si="157"/>
        <v>0</v>
      </c>
      <c r="O409" s="177">
        <f t="shared" si="162"/>
        <v>0.002715542005611785</v>
      </c>
      <c r="P409" s="174">
        <f t="shared" si="146"/>
        <v>0.0029565898513386445</v>
      </c>
      <c r="Q409" s="179">
        <f t="shared" si="150"/>
        <v>0.005290553391146897</v>
      </c>
      <c r="R409" s="179">
        <f t="shared" si="151"/>
        <v>0.010696956575927398</v>
      </c>
      <c r="S409" s="180">
        <f t="shared" si="152"/>
        <v>0.49458491801797555</v>
      </c>
      <c r="T409" s="179">
        <f t="shared" si="153"/>
        <v>0.9893030434240726</v>
      </c>
      <c r="U409" s="181">
        <f t="shared" si="154"/>
        <v>0.5290553391146897</v>
      </c>
      <c r="V409">
        <f>IF(ISNUMBER('Set-up'!C464)=FALSE,"",('Set-up'!C464-'EPP model'!U409)^2)</f>
      </c>
    </row>
    <row r="410" spans="1:22" ht="12.75">
      <c r="A410" s="91">
        <f t="shared" si="163"/>
        <v>2020.699999999963</v>
      </c>
      <c r="B410" s="171">
        <f t="shared" si="158"/>
        <v>31.440687400339176</v>
      </c>
      <c r="C410" s="171">
        <f t="shared" si="159"/>
        <v>0.17241557915458686</v>
      </c>
      <c r="D410" s="172">
        <f t="shared" si="160"/>
        <v>0.16753993171252493</v>
      </c>
      <c r="E410" s="171">
        <f t="shared" si="147"/>
        <v>31.78064291120629</v>
      </c>
      <c r="F410" s="171"/>
      <c r="G410" s="171">
        <f t="shared" si="155"/>
        <v>0.09494625972937437</v>
      </c>
      <c r="H410" s="171">
        <f t="shared" si="156"/>
        <v>0.09471801626049195</v>
      </c>
      <c r="I410" s="91">
        <f t="shared" si="164"/>
        <v>0.06917018779951012</v>
      </c>
      <c r="J410" s="91">
        <f t="shared" si="145"/>
        <v>29.745695056150083</v>
      </c>
      <c r="K410" s="172">
        <f t="shared" si="161"/>
        <v>0.05297408668066857</v>
      </c>
      <c r="L410" s="177">
        <f t="shared" si="148"/>
        <v>29.510290142833025</v>
      </c>
      <c r="M410" s="178">
        <f t="shared" si="149"/>
        <v>0.15681217439096215</v>
      </c>
      <c r="N410" s="403">
        <f t="shared" si="157"/>
        <v>0</v>
      </c>
      <c r="O410" s="177">
        <f t="shared" si="162"/>
        <v>0.0027096400123172862</v>
      </c>
      <c r="P410" s="174">
        <f t="shared" si="146"/>
        <v>0.0029510290142833024</v>
      </c>
      <c r="Q410" s="179">
        <f t="shared" si="150"/>
        <v>0.005271760303296069</v>
      </c>
      <c r="R410" s="179">
        <f t="shared" si="151"/>
        <v>0.010696936239362194</v>
      </c>
      <c r="S410" s="180">
        <f t="shared" si="152"/>
        <v>0.49282899190304963</v>
      </c>
      <c r="T410" s="179">
        <f t="shared" si="153"/>
        <v>0.9893030637606377</v>
      </c>
      <c r="U410" s="181">
        <f t="shared" si="154"/>
        <v>0.5271760303296069</v>
      </c>
      <c r="V410">
        <f>IF(ISNUMBER('Set-up'!C465)=FALSE,"",('Set-up'!C465-'EPP model'!U410)^2)</f>
      </c>
    </row>
    <row r="411" spans="1:22" ht="12.75">
      <c r="A411" s="91">
        <f t="shared" si="163"/>
        <v>2020.799999999963</v>
      </c>
      <c r="B411" s="171">
        <f t="shared" si="158"/>
        <v>31.374498123743702</v>
      </c>
      <c r="C411" s="171">
        <f t="shared" si="159"/>
        <v>0.17264775089001377</v>
      </c>
      <c r="D411" s="172">
        <f t="shared" si="160"/>
        <v>0.16659154702775647</v>
      </c>
      <c r="E411" s="171">
        <f t="shared" si="147"/>
        <v>31.713737421661474</v>
      </c>
      <c r="F411" s="171"/>
      <c r="G411" s="171">
        <f t="shared" si="155"/>
        <v>0.09474637623408474</v>
      </c>
      <c r="H411" s="171">
        <f t="shared" si="156"/>
        <v>0.09451942477128156</v>
      </c>
      <c r="I411" s="91">
        <f t="shared" si="164"/>
        <v>0.06902614115912256</v>
      </c>
      <c r="J411" s="91">
        <f t="shared" si="145"/>
        <v>29.745695056150083</v>
      </c>
      <c r="K411" s="172">
        <f t="shared" si="161"/>
        <v>0.052984290022196484</v>
      </c>
      <c r="L411" s="177">
        <f t="shared" si="148"/>
        <v>29.45354822164288</v>
      </c>
      <c r="M411" s="178">
        <f t="shared" si="149"/>
        <v>0.15625346489232297</v>
      </c>
      <c r="N411" s="403">
        <f t="shared" si="157"/>
        <v>0</v>
      </c>
      <c r="O411" s="177">
        <f t="shared" si="162"/>
        <v>0.0027036861866107814</v>
      </c>
      <c r="P411" s="174">
        <f t="shared" si="146"/>
        <v>0.002945354822164288</v>
      </c>
      <c r="Q411" s="179">
        <f t="shared" si="150"/>
        <v>0.0052529774341251</v>
      </c>
      <c r="R411" s="179">
        <f t="shared" si="151"/>
        <v>0.010696919552788477</v>
      </c>
      <c r="S411" s="180">
        <f t="shared" si="152"/>
        <v>0.49107384683992994</v>
      </c>
      <c r="T411" s="179">
        <f t="shared" si="153"/>
        <v>0.9893030804472115</v>
      </c>
      <c r="U411" s="181">
        <f t="shared" si="154"/>
        <v>0.52529774341251</v>
      </c>
      <c r="V411">
        <f>IF(ISNUMBER('Set-up'!C466)=FALSE,"",('Set-up'!C466-'EPP model'!U411)^2)</f>
      </c>
    </row>
    <row r="412" spans="1:22" ht="12.75">
      <c r="A412" s="91">
        <f t="shared" si="163"/>
        <v>2020.8999999999628</v>
      </c>
      <c r="B412" s="171">
        <f t="shared" si="158"/>
        <v>31.308449057657615</v>
      </c>
      <c r="C412" s="171">
        <f t="shared" si="159"/>
        <v>0.17287791463426894</v>
      </c>
      <c r="D412" s="172">
        <f t="shared" si="160"/>
        <v>0.16564679962836668</v>
      </c>
      <c r="E412" s="171">
        <f t="shared" si="147"/>
        <v>31.64697377192025</v>
      </c>
      <c r="F412" s="171"/>
      <c r="G412" s="171">
        <f t="shared" si="155"/>
        <v>0.09454691649230036</v>
      </c>
      <c r="H412" s="171">
        <f t="shared" si="156"/>
        <v>0.09432125208041961</v>
      </c>
      <c r="I412" s="91">
        <f t="shared" si="164"/>
        <v>0.06888235232534305</v>
      </c>
      <c r="J412" s="91">
        <f t="shared" si="145"/>
        <v>29.745695056150083</v>
      </c>
      <c r="K412" s="172">
        <f t="shared" si="161"/>
        <v>0.0529926634613922</v>
      </c>
      <c r="L412" s="177">
        <f t="shared" si="148"/>
        <v>29.395742814761395</v>
      </c>
      <c r="M412" s="178">
        <f t="shared" si="149"/>
        <v>0.15569511398731178</v>
      </c>
      <c r="N412" s="403">
        <f t="shared" si="157"/>
        <v>0</v>
      </c>
      <c r="O412" s="177">
        <f t="shared" si="162"/>
        <v>0.002697680928243129</v>
      </c>
      <c r="P412" s="174">
        <f t="shared" si="146"/>
        <v>0.0029395742814761396</v>
      </c>
      <c r="Q412" s="179">
        <f t="shared" si="150"/>
        <v>0.005234206620265912</v>
      </c>
      <c r="R412" s="179">
        <f t="shared" si="151"/>
        <v>0.010696906336207164</v>
      </c>
      <c r="S412" s="180">
        <f t="shared" si="152"/>
        <v>0.48931966456030707</v>
      </c>
      <c r="T412" s="179">
        <f t="shared" si="153"/>
        <v>0.9893030936637928</v>
      </c>
      <c r="U412" s="181">
        <f t="shared" si="154"/>
        <v>0.5234206620265912</v>
      </c>
      <c r="V412">
        <f>IF(ISNUMBER('Set-up'!C467)=FALSE,"",('Set-up'!C467-'EPP model'!U412)^2)</f>
      </c>
    </row>
    <row r="413" spans="1:22" ht="12.75">
      <c r="A413" s="91">
        <f t="shared" si="163"/>
        <v>2020.9999999999627</v>
      </c>
      <c r="B413" s="171">
        <f t="shared" si="158"/>
        <v>31.242539982543832</v>
      </c>
      <c r="C413" s="171">
        <f t="shared" si="159"/>
        <v>0.1731060214753073</v>
      </c>
      <c r="D413" s="172">
        <f t="shared" si="160"/>
        <v>0.164705729635945</v>
      </c>
      <c r="E413" s="171">
        <f t="shared" si="147"/>
        <v>31.580351733655082</v>
      </c>
      <c r="F413" s="171"/>
      <c r="G413" s="171">
        <f t="shared" si="155"/>
        <v>0.09434787982188125</v>
      </c>
      <c r="H413" s="171">
        <f t="shared" si="156"/>
        <v>0.09412349745110758</v>
      </c>
      <c r="I413" s="91">
        <f t="shared" si="164"/>
        <v>0.0687388223195756</v>
      </c>
      <c r="J413" s="91">
        <f t="shared" si="145"/>
        <v>29.745695056150083</v>
      </c>
      <c r="K413" s="172">
        <f t="shared" si="161"/>
        <v>0.05299929652069988</v>
      </c>
      <c r="L413" s="177">
        <f t="shared" si="148"/>
        <v>29.336943113387946</v>
      </c>
      <c r="M413" s="178">
        <f t="shared" si="149"/>
        <v>0.15513717038592598</v>
      </c>
      <c r="N413" s="403">
        <f t="shared" si="157"/>
        <v>0</v>
      </c>
      <c r="O413" s="177">
        <f t="shared" si="162"/>
        <v>0.002691624662487126</v>
      </c>
      <c r="P413" s="174">
        <f t="shared" si="146"/>
        <v>0.0029336943113387947</v>
      </c>
      <c r="Q413" s="179">
        <f t="shared" si="150"/>
        <v>0.005215449499266299</v>
      </c>
      <c r="R413" s="179">
        <f t="shared" si="151"/>
        <v>0.010696896410790998</v>
      </c>
      <c r="S413" s="180">
        <f t="shared" si="152"/>
        <v>0.4875666080121117</v>
      </c>
      <c r="T413" s="179">
        <f t="shared" si="153"/>
        <v>0.989303103589209</v>
      </c>
      <c r="U413" s="181">
        <f t="shared" si="154"/>
        <v>0.5215449499266299</v>
      </c>
      <c r="V413">
        <f>IF(ISNUMBER('Set-up'!$N$48)=FALSE,"",('Set-up'!$N$48-'EPP model'!U413)^2)</f>
      </c>
    </row>
    <row r="414" spans="1:22" ht="12.75">
      <c r="A414" s="91">
        <f t="shared" si="163"/>
        <v>2021.0999999999626</v>
      </c>
      <c r="B414" s="171">
        <f t="shared" si="158"/>
        <v>31.176770673862485</v>
      </c>
      <c r="C414" s="171">
        <f t="shared" si="159"/>
        <v>0.17333202918279236</v>
      </c>
      <c r="D414" s="172">
        <f t="shared" si="160"/>
        <v>0.16376837053058071</v>
      </c>
      <c r="E414" s="171">
        <f t="shared" si="147"/>
        <v>31.513871073575856</v>
      </c>
      <c r="F414" s="171"/>
      <c r="G414" s="171">
        <f t="shared" si="155"/>
        <v>0.09414926552586156</v>
      </c>
      <c r="H414" s="171">
        <f t="shared" si="156"/>
        <v>0.0939261601407689</v>
      </c>
      <c r="I414" s="91">
        <f t="shared" si="164"/>
        <v>0.06859555214296126</v>
      </c>
      <c r="J414" s="91">
        <f t="shared" si="145"/>
        <v>29.745695056150083</v>
      </c>
      <c r="K414" s="172">
        <f t="shared" si="161"/>
        <v>0.053004278344979144</v>
      </c>
      <c r="L414" s="177">
        <f t="shared" si="148"/>
        <v>29.277217378262524</v>
      </c>
      <c r="M414" s="178">
        <f t="shared" si="149"/>
        <v>0.15457967693882854</v>
      </c>
      <c r="N414" s="403">
        <f t="shared" si="157"/>
        <v>0</v>
      </c>
      <c r="O414" s="177">
        <f t="shared" si="162"/>
        <v>0.002685517834844451</v>
      </c>
      <c r="P414" s="174">
        <f t="shared" si="146"/>
        <v>0.0029277217378262522</v>
      </c>
      <c r="Q414" s="179">
        <f t="shared" si="150"/>
        <v>0.005196707511693137</v>
      </c>
      <c r="R414" s="179">
        <f t="shared" si="151"/>
        <v>0.010696889599070208</v>
      </c>
      <c r="S414" s="180">
        <f t="shared" si="152"/>
        <v>0.4858148215482044</v>
      </c>
      <c r="T414" s="179">
        <f t="shared" si="153"/>
        <v>0.9893031104009299</v>
      </c>
      <c r="U414" s="181">
        <f t="shared" si="154"/>
        <v>0.5196707511693137</v>
      </c>
      <c r="V414">
        <f>IF(ISNUMBER('Set-up'!C469)=FALSE,"",('Set-up'!C469-'EPP model'!U414)^2)</f>
      </c>
    </row>
    <row r="415" spans="1:22" ht="12.75">
      <c r="A415" s="91">
        <f t="shared" si="163"/>
        <v>2021.1999999999625</v>
      </c>
      <c r="B415" s="171">
        <f t="shared" si="158"/>
        <v>31.111140902050987</v>
      </c>
      <c r="C415" s="171">
        <f t="shared" si="159"/>
        <v>0.1735559020685107</v>
      </c>
      <c r="D415" s="172">
        <f t="shared" si="160"/>
        <v>0.16283474928830521</v>
      </c>
      <c r="E415" s="171">
        <f t="shared" si="147"/>
        <v>31.447531553407803</v>
      </c>
      <c r="F415" s="171"/>
      <c r="G415" s="171">
        <f t="shared" si="155"/>
        <v>0.0939510728923835</v>
      </c>
      <c r="H415" s="171">
        <f t="shared" si="156"/>
        <v>0.09372923940079575</v>
      </c>
      <c r="I415" s="91">
        <f t="shared" si="164"/>
        <v>0.06845254266076045</v>
      </c>
      <c r="J415" s="91">
        <f t="shared" si="145"/>
        <v>29.745695056150083</v>
      </c>
      <c r="K415" s="172">
        <f t="shared" si="161"/>
        <v>0.05300769758043712</v>
      </c>
      <c r="L415" s="177">
        <f t="shared" si="148"/>
        <v>29.216682368774062</v>
      </c>
      <c r="M415" s="178">
        <f t="shared" si="149"/>
        <v>0.1540226707030587</v>
      </c>
      <c r="N415" s="403">
        <f t="shared" si="157"/>
        <v>0</v>
      </c>
      <c r="O415" s="177">
        <f t="shared" si="162"/>
        <v>0.0026793609074227645</v>
      </c>
      <c r="P415" s="174">
        <f t="shared" si="146"/>
        <v>0.0029216682368774062</v>
      </c>
      <c r="Q415" s="179">
        <f t="shared" si="150"/>
        <v>0.005177981903341462</v>
      </c>
      <c r="R415" s="179">
        <f t="shared" si="151"/>
        <v>0.010696885724894455</v>
      </c>
      <c r="S415" s="180">
        <f t="shared" si="152"/>
        <v>0.4840644311354043</v>
      </c>
      <c r="T415" s="179">
        <f t="shared" si="153"/>
        <v>0.9893031142751055</v>
      </c>
      <c r="U415" s="181">
        <f t="shared" si="154"/>
        <v>0.5177981903341462</v>
      </c>
      <c r="V415">
        <f>IF(ISNUMBER('Set-up'!C470)=FALSE,"",('Set-up'!C470-'EPP model'!U415)^2)</f>
      </c>
    </row>
    <row r="416" spans="1:22" ht="12.75">
      <c r="A416" s="91">
        <f t="shared" si="163"/>
        <v>2021.2999999999624</v>
      </c>
      <c r="B416" s="171">
        <f t="shared" si="158"/>
        <v>31.045650432833728</v>
      </c>
      <c r="C416" s="171">
        <f t="shared" si="159"/>
        <v>0.1737776108696059</v>
      </c>
      <c r="D416" s="172">
        <f t="shared" si="160"/>
        <v>0.16190488157139937</v>
      </c>
      <c r="E416" s="171">
        <f t="shared" si="147"/>
        <v>31.381332925274734</v>
      </c>
      <c r="F416" s="171"/>
      <c r="G416" s="171">
        <f t="shared" si="155"/>
        <v>0.09375330118090454</v>
      </c>
      <c r="H416" s="171">
        <f t="shared" si="156"/>
        <v>0.09353273446930853</v>
      </c>
      <c r="I416" s="91">
        <f t="shared" si="164"/>
        <v>0.06830979495047994</v>
      </c>
      <c r="J416" s="91">
        <f t="shared" si="145"/>
        <v>29.745695056150083</v>
      </c>
      <c r="K416" s="172">
        <f t="shared" si="161"/>
        <v>0.053009642368218646</v>
      </c>
      <c r="L416" s="177">
        <f t="shared" si="148"/>
        <v>29.15532816543433</v>
      </c>
      <c r="M416" s="178">
        <f t="shared" si="149"/>
        <v>0.15346617834216092</v>
      </c>
      <c r="N416" s="403">
        <f t="shared" si="157"/>
        <v>0</v>
      </c>
      <c r="O416" s="177">
        <f t="shared" si="162"/>
        <v>0.002673154355287053</v>
      </c>
      <c r="P416" s="174">
        <f t="shared" si="146"/>
        <v>0.002915532816543433</v>
      </c>
      <c r="Q416" s="179">
        <f t="shared" si="150"/>
        <v>0.005159273570594578</v>
      </c>
      <c r="R416" s="179">
        <f t="shared" si="151"/>
        <v>0.010696884458041752</v>
      </c>
      <c r="S416" s="180">
        <f t="shared" si="152"/>
        <v>0.48231553690531975</v>
      </c>
      <c r="T416" s="179">
        <f t="shared" si="153"/>
        <v>0.9893031155419583</v>
      </c>
      <c r="U416" s="181">
        <f t="shared" si="154"/>
        <v>0.5159273570594578</v>
      </c>
      <c r="V416">
        <f>IF(ISNUMBER('Set-up'!C471)=FALSE,"",('Set-up'!C471-'EPP model'!U416)^2)</f>
      </c>
    </row>
    <row r="417" spans="1:22" ht="12.75">
      <c r="A417" s="91">
        <f t="shared" si="163"/>
        <v>2021.3999999999623</v>
      </c>
      <c r="B417" s="171">
        <f t="shared" si="158"/>
        <v>30.980299021884687</v>
      </c>
      <c r="C417" s="171">
        <f t="shared" si="159"/>
        <v>0.1739971380146134</v>
      </c>
      <c r="D417" s="172">
        <f t="shared" si="160"/>
        <v>0.16097878437227842</v>
      </c>
      <c r="E417" s="171">
        <f t="shared" si="147"/>
        <v>31.31527494427158</v>
      </c>
      <c r="F417" s="171"/>
      <c r="G417" s="171">
        <f t="shared" si="155"/>
        <v>0.09355594965975857</v>
      </c>
      <c r="H417" s="171">
        <f t="shared" si="156"/>
        <v>0.09333664459149194</v>
      </c>
      <c r="I417" s="91">
        <f t="shared" si="164"/>
        <v>0.06816730995408556</v>
      </c>
      <c r="J417" s="91">
        <f t="shared" si="145"/>
        <v>29.745695056150083</v>
      </c>
      <c r="K417" s="172">
        <f t="shared" si="161"/>
        <v>0.05301027832708056</v>
      </c>
      <c r="L417" s="177">
        <f t="shared" si="148"/>
        <v>29.093230580011863</v>
      </c>
      <c r="M417" s="178">
        <f t="shared" si="149"/>
        <v>0.1529102279628385</v>
      </c>
      <c r="N417" s="403">
        <f t="shared" si="157"/>
        <v>0</v>
      </c>
      <c r="O417" s="177">
        <f t="shared" si="162"/>
        <v>0.002666898582158958</v>
      </c>
      <c r="P417" s="174">
        <f t="shared" si="146"/>
        <v>0.0029093230580011864</v>
      </c>
      <c r="Q417" s="179">
        <f t="shared" si="150"/>
        <v>0.005140583458352354</v>
      </c>
      <c r="R417" s="179">
        <f t="shared" si="151"/>
        <v>0.01069688588022977</v>
      </c>
      <c r="S417" s="180">
        <f t="shared" si="152"/>
        <v>0.4805682248002008</v>
      </c>
      <c r="T417" s="179">
        <f t="shared" si="153"/>
        <v>0.9893031141197702</v>
      </c>
      <c r="U417" s="181">
        <f t="shared" si="154"/>
        <v>0.5140583458352355</v>
      </c>
      <c r="V417">
        <f>IF(ISNUMBER('Set-up'!C472)=FALSE,"",('Set-up'!C472-'EPP model'!U417)^2)</f>
      </c>
    </row>
    <row r="418" spans="1:22" ht="12.75">
      <c r="A418" s="91">
        <f t="shared" si="163"/>
        <v>2021.4999999999623</v>
      </c>
      <c r="B418" s="171">
        <f t="shared" si="158"/>
        <v>30.915086429006127</v>
      </c>
      <c r="C418" s="171">
        <f t="shared" si="159"/>
        <v>0.1742144632050103</v>
      </c>
      <c r="D418" s="172">
        <f t="shared" si="160"/>
        <v>0.1600564676469101</v>
      </c>
      <c r="E418" s="171">
        <f t="shared" si="147"/>
        <v>31.24935735985805</v>
      </c>
      <c r="F418" s="171"/>
      <c r="G418" s="171">
        <f t="shared" si="155"/>
        <v>0.09335901758044393</v>
      </c>
      <c r="H418" s="171">
        <f t="shared" si="156"/>
        <v>0.09314096900528107</v>
      </c>
      <c r="I418" s="91">
        <f t="shared" si="164"/>
        <v>0.06802508859277394</v>
      </c>
      <c r="J418" s="91">
        <f t="shared" si="145"/>
        <v>29.745695056150083</v>
      </c>
      <c r="K418" s="172">
        <f t="shared" si="161"/>
        <v>0.0530095643905421</v>
      </c>
      <c r="L418" s="177">
        <f t="shared" si="148"/>
        <v>29.030462623382405</v>
      </c>
      <c r="M418" s="178">
        <f t="shared" si="149"/>
        <v>0.15235484120724224</v>
      </c>
      <c r="N418" s="403">
        <f t="shared" si="157"/>
        <v>0</v>
      </c>
      <c r="O418" s="177">
        <f t="shared" si="162"/>
        <v>0.002660594203869601</v>
      </c>
      <c r="P418" s="174">
        <f t="shared" si="146"/>
        <v>0.0029030462623382404</v>
      </c>
      <c r="Q418" s="179">
        <f t="shared" si="150"/>
        <v>0.005121912294187324</v>
      </c>
      <c r="R418" s="179">
        <f t="shared" si="151"/>
        <v>0.010696889763285642</v>
      </c>
      <c r="S418" s="180">
        <f t="shared" si="152"/>
        <v>0.4788225743680175</v>
      </c>
      <c r="T418" s="179">
        <f t="shared" si="153"/>
        <v>0.9893031102367144</v>
      </c>
      <c r="U418" s="181">
        <f t="shared" si="154"/>
        <v>0.5121912294187324</v>
      </c>
      <c r="V418">
        <f>IF(ISNUMBER('Set-up'!C473)=FALSE,"",('Set-up'!C473-'EPP model'!U418)^2)</f>
      </c>
    </row>
    <row r="419" spans="1:22" ht="12.75">
      <c r="A419" s="91">
        <f t="shared" si="163"/>
        <v>2021.5999999999622</v>
      </c>
      <c r="B419" s="171">
        <f t="shared" si="158"/>
        <v>30.850012407504416</v>
      </c>
      <c r="C419" s="171">
        <f t="shared" si="159"/>
        <v>0.1744295741616789</v>
      </c>
      <c r="D419" s="172">
        <f t="shared" si="160"/>
        <v>0.15913793447585695</v>
      </c>
      <c r="E419" s="171">
        <f t="shared" si="147"/>
        <v>31.18357991614195</v>
      </c>
      <c r="F419" s="171"/>
      <c r="G419" s="171">
        <f t="shared" si="155"/>
        <v>0.0931625041784699</v>
      </c>
      <c r="H419" s="171">
        <f t="shared" si="156"/>
        <v>0.09294570694198853</v>
      </c>
      <c r="I419" s="91">
        <f t="shared" si="164"/>
        <v>0.06788313176739041</v>
      </c>
      <c r="J419" s="91">
        <f aca="true" t="shared" si="165" ref="J419:J482">force_of_infection</f>
        <v>29.745695056150083</v>
      </c>
      <c r="K419" s="172">
        <f t="shared" si="161"/>
        <v>0.05300761514778031</v>
      </c>
      <c r="L419" s="177">
        <f t="shared" si="148"/>
        <v>28.967089695007136</v>
      </c>
      <c r="M419" s="178">
        <f t="shared" si="149"/>
        <v>0.151800033335303</v>
      </c>
      <c r="N419" s="403">
        <f t="shared" si="157"/>
        <v>0</v>
      </c>
      <c r="O419" s="177">
        <f t="shared" si="162"/>
        <v>0.0026542416877604292</v>
      </c>
      <c r="P419" s="174">
        <f t="shared" si="146"/>
        <v>0.0028967089695007137</v>
      </c>
      <c r="Q419" s="179">
        <f t="shared" si="150"/>
        <v>0.00510326059111258</v>
      </c>
      <c r="R419" s="179">
        <f t="shared" si="151"/>
        <v>0.010696895915560582</v>
      </c>
      <c r="S419" s="180">
        <f t="shared" si="152"/>
        <v>0.47707864331828814</v>
      </c>
      <c r="T419" s="179">
        <f t="shared" si="153"/>
        <v>0.9893031040844394</v>
      </c>
      <c r="U419" s="181">
        <f t="shared" si="154"/>
        <v>0.510326059111258</v>
      </c>
      <c r="V419">
        <f>IF(ISNUMBER('Set-up'!C474)=FALSE,"",('Set-up'!C474-'EPP model'!U419)^2)</f>
      </c>
    </row>
    <row r="420" spans="1:22" ht="12.75">
      <c r="A420" s="91">
        <f t="shared" si="163"/>
        <v>2021.699999999962</v>
      </c>
      <c r="B420" s="171">
        <f t="shared" si="158"/>
        <v>30.785076705501968</v>
      </c>
      <c r="C420" s="171">
        <f t="shared" si="159"/>
        <v>0.17464246526998048</v>
      </c>
      <c r="D420" s="172">
        <f t="shared" si="160"/>
        <v>0.1582231818702544</v>
      </c>
      <c r="E420" s="171">
        <f t="shared" si="147"/>
        <v>31.117942352642203</v>
      </c>
      <c r="F420" s="171"/>
      <c r="G420" s="171">
        <f t="shared" si="155"/>
        <v>0.09296640867563623</v>
      </c>
      <c r="H420" s="171">
        <f t="shared" si="156"/>
        <v>0.09275085762748583</v>
      </c>
      <c r="I420" s="91">
        <f t="shared" si="164"/>
        <v>0.0677414403582482</v>
      </c>
      <c r="J420" s="91">
        <f t="shared" si="165"/>
        <v>29.745695056150083</v>
      </c>
      <c r="K420" s="172">
        <f t="shared" si="161"/>
        <v>0.0530045269255673</v>
      </c>
      <c r="L420" s="177">
        <f t="shared" si="148"/>
        <v>28.90317381363323</v>
      </c>
      <c r="M420" s="178">
        <f t="shared" si="149"/>
        <v>0.15124581392274283</v>
      </c>
      <c r="N420" s="403">
        <f t="shared" si="157"/>
        <v>0</v>
      </c>
      <c r="O420" s="177">
        <f t="shared" si="162"/>
        <v>0.0026478415172405565</v>
      </c>
      <c r="P420" s="174">
        <f aca="true" t="shared" si="166" ref="P420:P483">O409*$Y$6+O398*$Y$7+O387*$Y$8+O376*$Y$9+O365*$Y$10+O354*$Y$11+O343*$Y$12+O332*$Y$13+O321*$Y$14+O310*$Y$15+O299*$Y$16+O288*$Y$17+O277*$Y$18+O266*$Y$19+O255*$N$20</f>
        <v>0.002890317381363323</v>
      </c>
      <c r="Q420" s="179">
        <f t="shared" si="150"/>
        <v>0.00508462867104771</v>
      </c>
      <c r="R420" s="179">
        <f t="shared" si="151"/>
        <v>0.01069690416442241</v>
      </c>
      <c r="S420" s="180">
        <f t="shared" si="152"/>
        <v>0.4753364705237835</v>
      </c>
      <c r="T420" s="179">
        <f t="shared" si="153"/>
        <v>0.9893030958355776</v>
      </c>
      <c r="U420" s="181">
        <f t="shared" si="154"/>
        <v>0.5084628671047711</v>
      </c>
      <c r="V420">
        <f>IF(ISNUMBER('Set-up'!C475)=FALSE,"",('Set-up'!C475-'EPP model'!U420)^2)</f>
      </c>
    </row>
    <row r="421" spans="1:22" ht="12.75">
      <c r="A421" s="91">
        <f t="shared" si="163"/>
        <v>2021.799999999962</v>
      </c>
      <c r="B421" s="171">
        <f t="shared" si="158"/>
        <v>30.7202790674483</v>
      </c>
      <c r="C421" s="171">
        <f t="shared" si="159"/>
        <v>0.17485313689318277</v>
      </c>
      <c r="D421" s="172">
        <f t="shared" si="160"/>
        <v>0.15731220114008287</v>
      </c>
      <c r="E421" s="171">
        <f t="shared" si="147"/>
        <v>31.052444405481566</v>
      </c>
      <c r="F421" s="171"/>
      <c r="G421" s="171">
        <f t="shared" si="155"/>
        <v>0.09277073028359646</v>
      </c>
      <c r="H421" s="171">
        <f t="shared" si="156"/>
        <v>0.09255642028526515</v>
      </c>
      <c r="I421" s="91">
        <f t="shared" si="164"/>
        <v>0.06760001608112857</v>
      </c>
      <c r="J421" s="91">
        <f t="shared" si="165"/>
        <v>29.745695056150083</v>
      </c>
      <c r="K421" s="172">
        <f t="shared" si="161"/>
        <v>0.053000386558163824</v>
      </c>
      <c r="L421" s="177">
        <f t="shared" si="148"/>
        <v>28.838775113762132</v>
      </c>
      <c r="M421" s="178">
        <f t="shared" si="149"/>
        <v>0.1506921871470647</v>
      </c>
      <c r="N421" s="403">
        <f t="shared" si="157"/>
        <v>0</v>
      </c>
      <c r="O421" s="177">
        <f t="shared" si="162"/>
        <v>0.0026413941805232544</v>
      </c>
      <c r="P421" s="174">
        <f t="shared" si="166"/>
        <v>0.002883877511376213</v>
      </c>
      <c r="Q421" s="179">
        <f t="shared" si="150"/>
        <v>0.005066016674433307</v>
      </c>
      <c r="R421" s="179">
        <f t="shared" si="151"/>
        <v>0.010696914345803638</v>
      </c>
      <c r="S421" s="180">
        <f t="shared" si="152"/>
        <v>0.47359607739784215</v>
      </c>
      <c r="T421" s="179">
        <f t="shared" si="153"/>
        <v>0.9893030856541963</v>
      </c>
      <c r="U421" s="181">
        <f t="shared" si="154"/>
        <v>0.5066016674433307</v>
      </c>
      <c r="V421">
        <f>IF(ISNUMBER('Set-up'!C476)=FALSE,"",('Set-up'!C476-'EPP model'!U421)^2)</f>
      </c>
    </row>
    <row r="422" spans="1:22" ht="12.75">
      <c r="A422" s="91">
        <f t="shared" si="163"/>
        <v>2021.899999999962</v>
      </c>
      <c r="B422" s="171">
        <f t="shared" si="158"/>
        <v>30.655619232854686</v>
      </c>
      <c r="C422" s="171">
        <f t="shared" si="159"/>
        <v>0.17506159492152262</v>
      </c>
      <c r="D422" s="172">
        <f t="shared" si="160"/>
        <v>0.15640497810342188</v>
      </c>
      <c r="E422" s="171">
        <f t="shared" si="147"/>
        <v>30.98708580587963</v>
      </c>
      <c r="F422" s="171"/>
      <c r="G422" s="171">
        <f t="shared" si="155"/>
        <v>0.09257546819935569</v>
      </c>
      <c r="H422" s="171">
        <f t="shared" si="156"/>
        <v>0.09236239413165193</v>
      </c>
      <c r="I422" s="91">
        <f t="shared" si="164"/>
        <v>0.06745885894217153</v>
      </c>
      <c r="J422" s="91">
        <f t="shared" si="165"/>
        <v>29.745695056150083</v>
      </c>
      <c r="K422" s="172">
        <f t="shared" si="161"/>
        <v>0.05299527661845517</v>
      </c>
      <c r="L422" s="177">
        <f t="shared" si="148"/>
        <v>28.773951716839782</v>
      </c>
      <c r="M422" s="178">
        <f t="shared" si="149"/>
        <v>0.15013915193811014</v>
      </c>
      <c r="N422" s="403">
        <f t="shared" si="157"/>
        <v>0</v>
      </c>
      <c r="O422" s="177">
        <f t="shared" si="162"/>
        <v>0.002634900162795882</v>
      </c>
      <c r="P422" s="174">
        <f t="shared" si="166"/>
        <v>0.0028773951716839783</v>
      </c>
      <c r="Q422" s="179">
        <f t="shared" si="150"/>
        <v>0.005047424565292452</v>
      </c>
      <c r="R422" s="179">
        <f t="shared" si="151"/>
        <v>0.010696926297020501</v>
      </c>
      <c r="S422" s="180">
        <f t="shared" si="152"/>
        <v>0.4718574686915764</v>
      </c>
      <c r="T422" s="179">
        <f t="shared" si="153"/>
        <v>0.9893030737029795</v>
      </c>
      <c r="U422" s="181">
        <f t="shared" si="154"/>
        <v>0.5047424565292452</v>
      </c>
      <c r="V422">
        <f>IF(ISNUMBER('Set-up'!C477)=FALSE,"",('Set-up'!C477-'EPP model'!U422)^2)</f>
      </c>
    </row>
    <row r="423" spans="1:22" ht="12.75">
      <c r="A423" s="91">
        <f t="shared" si="163"/>
        <v>2021.9999999999618</v>
      </c>
      <c r="B423" s="171">
        <f t="shared" si="158"/>
        <v>30.591096937160835</v>
      </c>
      <c r="C423" s="171">
        <f t="shared" si="159"/>
        <v>0.17526785070719886</v>
      </c>
      <c r="D423" s="172">
        <f t="shared" si="160"/>
        <v>0.15550149330133475</v>
      </c>
      <c r="E423" s="171">
        <f t="shared" si="147"/>
        <v>30.92186628116937</v>
      </c>
      <c r="F423" s="171"/>
      <c r="G423" s="171">
        <f t="shared" si="155"/>
        <v>0.09238062160830757</v>
      </c>
      <c r="H423" s="171">
        <f t="shared" si="156"/>
        <v>0.0921687783785491</v>
      </c>
      <c r="I423" s="91">
        <f t="shared" si="164"/>
        <v>0.06731796974222702</v>
      </c>
      <c r="J423" s="91">
        <f t="shared" si="165"/>
        <v>29.745695056150083</v>
      </c>
      <c r="K423" s="172">
        <f t="shared" si="161"/>
        <v>0.052989279008315654</v>
      </c>
      <c r="L423" s="177">
        <f t="shared" si="148"/>
        <v>28.708760043181034</v>
      </c>
      <c r="M423" s="178">
        <f t="shared" si="149"/>
        <v>0.14958670212393618</v>
      </c>
      <c r="N423" s="403">
        <f t="shared" si="157"/>
        <v>0</v>
      </c>
      <c r="O423" s="177">
        <f t="shared" si="162"/>
        <v>0.0026283599398450375</v>
      </c>
      <c r="P423" s="174">
        <f t="shared" si="166"/>
        <v>0.0028708760043181032</v>
      </c>
      <c r="Q423" s="179">
        <f t="shared" si="150"/>
        <v>0.005028852136134849</v>
      </c>
      <c r="R423" s="179">
        <f t="shared" si="151"/>
        <v>0.010696939861290448</v>
      </c>
      <c r="S423" s="180">
        <f t="shared" si="152"/>
        <v>0.47012063275526195</v>
      </c>
      <c r="T423" s="179">
        <f t="shared" si="153"/>
        <v>0.9893030601387095</v>
      </c>
      <c r="U423" s="181">
        <f t="shared" si="154"/>
        <v>0.5028852136134849</v>
      </c>
      <c r="V423">
        <f>IF(ISNUMBER('Set-up'!$N$49)=FALSE,"",('Set-up'!$N$49-'EPP model'!U423)^2)</f>
      </c>
    </row>
    <row r="424" spans="1:22" ht="12.75">
      <c r="A424" s="91">
        <f t="shared" si="163"/>
        <v>2022.0999999999617</v>
      </c>
      <c r="B424" s="171">
        <f t="shared" si="158"/>
        <v>30.52671191199918</v>
      </c>
      <c r="C424" s="171">
        <f t="shared" si="159"/>
        <v>0.1754719208055828</v>
      </c>
      <c r="D424" s="172">
        <f t="shared" si="160"/>
        <v>0.15460172218016915</v>
      </c>
      <c r="E424" s="171">
        <f t="shared" si="147"/>
        <v>30.856785554984928</v>
      </c>
      <c r="F424" s="171"/>
      <c r="G424" s="171">
        <f t="shared" si="155"/>
        <v>0.09218618968479524</v>
      </c>
      <c r="H424" s="171">
        <f t="shared" si="156"/>
        <v>0.09197557223374993</v>
      </c>
      <c r="I424" s="91">
        <f t="shared" si="164"/>
        <v>0.06717734928358306</v>
      </c>
      <c r="J424" s="91">
        <f t="shared" si="165"/>
        <v>29.745695056150083</v>
      </c>
      <c r="K424" s="172">
        <f t="shared" si="161"/>
        <v>0.0529824726783354</v>
      </c>
      <c r="L424" s="177">
        <f t="shared" si="148"/>
        <v>28.643254827480924</v>
      </c>
      <c r="M424" s="178">
        <f t="shared" si="149"/>
        <v>0.1490348265515952</v>
      </c>
      <c r="N424" s="403">
        <f t="shared" si="157"/>
        <v>0</v>
      </c>
      <c r="O424" s="177">
        <f t="shared" si="162"/>
        <v>0.0026217739775640275</v>
      </c>
      <c r="P424" s="174">
        <f t="shared" si="166"/>
        <v>0.0028643254827480924</v>
      </c>
      <c r="Q424" s="179">
        <f t="shared" si="150"/>
        <v>0.00501029901201725</v>
      </c>
      <c r="R424" s="179">
        <f t="shared" si="151"/>
        <v>0.010696954885257915</v>
      </c>
      <c r="S424" s="180">
        <f t="shared" si="152"/>
        <v>0.46838554203142707</v>
      </c>
      <c r="T424" s="179">
        <f t="shared" si="153"/>
        <v>0.9893030451147422</v>
      </c>
      <c r="U424" s="181">
        <f t="shared" si="154"/>
        <v>0.501029901201725</v>
      </c>
      <c r="V424">
        <f>IF(ISNUMBER('Set-up'!C479)=FALSE,"",('Set-up'!C479-'EPP model'!U424)^2)</f>
      </c>
    </row>
    <row r="425" spans="1:22" ht="12.75">
      <c r="A425" s="91">
        <f t="shared" si="163"/>
        <v>2022.1999999999616</v>
      </c>
      <c r="B425" s="171">
        <f t="shared" si="158"/>
        <v>30.46246388535008</v>
      </c>
      <c r="C425" s="171">
        <f t="shared" si="159"/>
        <v>0.1756738268048197</v>
      </c>
      <c r="D425" s="172">
        <f t="shared" si="160"/>
        <v>0.1537056352677844</v>
      </c>
      <c r="E425" s="171">
        <f t="shared" si="147"/>
        <v>30.79184334742268</v>
      </c>
      <c r="F425" s="171"/>
      <c r="G425" s="171">
        <f t="shared" si="155"/>
        <v>0.09199217159259265</v>
      </c>
      <c r="H425" s="171">
        <f t="shared" si="156"/>
        <v>0.09178277490117887</v>
      </c>
      <c r="I425" s="91">
        <f t="shared" si="164"/>
        <v>0.0670369983455169</v>
      </c>
      <c r="J425" s="91">
        <f t="shared" si="165"/>
        <v>29.745695056150083</v>
      </c>
      <c r="K425" s="172">
        <f t="shared" si="161"/>
        <v>0.052974934859379506</v>
      </c>
      <c r="L425" s="177">
        <f t="shared" si="148"/>
        <v>28.577489085058325</v>
      </c>
      <c r="M425" s="178">
        <f t="shared" si="149"/>
        <v>0.1484835092040708</v>
      </c>
      <c r="N425" s="403">
        <f t="shared" si="157"/>
        <v>0</v>
      </c>
      <c r="O425" s="177">
        <f t="shared" si="162"/>
        <v>0.0026151427281935285</v>
      </c>
      <c r="P425" s="174">
        <f t="shared" si="166"/>
        <v>0.0028577489085058324</v>
      </c>
      <c r="Q425" s="179">
        <f t="shared" si="150"/>
        <v>0.0049917646544746334</v>
      </c>
      <c r="R425" s="179">
        <f t="shared" si="151"/>
        <v>0.010696971219171054</v>
      </c>
      <c r="S425" s="180">
        <f t="shared" si="152"/>
        <v>0.4666521534178216</v>
      </c>
      <c r="T425" s="179">
        <f t="shared" si="153"/>
        <v>0.989303028780829</v>
      </c>
      <c r="U425" s="181">
        <f t="shared" si="154"/>
        <v>0.49917646544746336</v>
      </c>
      <c r="V425">
        <f>IF(ISNUMBER('Set-up'!C480)=FALSE,"",('Set-up'!C480-'EPP model'!U425)^2)</f>
      </c>
    </row>
    <row r="426" spans="1:22" ht="12.75">
      <c r="A426" s="91">
        <f t="shared" si="163"/>
        <v>2022.2999999999615</v>
      </c>
      <c r="B426" s="171">
        <f t="shared" si="158"/>
        <v>30.39835258159259</v>
      </c>
      <c r="C426" s="171">
        <f t="shared" si="159"/>
        <v>0.17587359514722617</v>
      </c>
      <c r="D426" s="172">
        <f t="shared" si="160"/>
        <v>0.15281319835002433</v>
      </c>
      <c r="E426" s="171">
        <f t="shared" si="147"/>
        <v>30.72703937508984</v>
      </c>
      <c r="F426" s="171"/>
      <c r="G426" s="171">
        <f t="shared" si="155"/>
        <v>0.09179856648504967</v>
      </c>
      <c r="H426" s="171">
        <f t="shared" si="156"/>
        <v>0.09159038558079652</v>
      </c>
      <c r="I426" s="91">
        <f t="shared" si="164"/>
        <v>0.06689691756920123</v>
      </c>
      <c r="J426" s="91">
        <f t="shared" si="165"/>
        <v>29.745695056150083</v>
      </c>
      <c r="K426" s="172">
        <f t="shared" si="161"/>
        <v>0.05296674096354799</v>
      </c>
      <c r="L426" s="177">
        <f t="shared" si="148"/>
        <v>28.511544405358748</v>
      </c>
      <c r="M426" s="178">
        <f t="shared" si="149"/>
        <v>0.147932729319826</v>
      </c>
      <c r="N426" s="403">
        <f t="shared" si="157"/>
        <v>0</v>
      </c>
      <c r="O426" s="177">
        <f t="shared" si="162"/>
        <v>0.0026084666279287787</v>
      </c>
      <c r="P426" s="174">
        <f t="shared" si="166"/>
        <v>0.002851154440535875</v>
      </c>
      <c r="Q426" s="179">
        <f t="shared" si="150"/>
        <v>0.004973248365539204</v>
      </c>
      <c r="R426" s="179">
        <f t="shared" si="151"/>
        <v>0.010696988716840522</v>
      </c>
      <c r="S426" s="180">
        <f t="shared" si="152"/>
        <v>0.46492040864824896</v>
      </c>
      <c r="T426" s="179">
        <f t="shared" si="153"/>
        <v>0.9893030112831595</v>
      </c>
      <c r="U426" s="181">
        <f t="shared" si="154"/>
        <v>0.49732483655392046</v>
      </c>
      <c r="V426">
        <f>IF(ISNUMBER('Set-up'!C481)=FALSE,"",('Set-up'!C481-'EPP model'!U426)^2)</f>
      </c>
    </row>
    <row r="427" spans="1:22" ht="12.75">
      <c r="A427" s="91">
        <f t="shared" si="163"/>
        <v>2022.3999999999614</v>
      </c>
      <c r="B427" s="171">
        <f t="shared" si="158"/>
        <v>30.33437772188273</v>
      </c>
      <c r="C427" s="171">
        <f t="shared" si="159"/>
        <v>0.1760712569746498</v>
      </c>
      <c r="D427" s="172">
        <f t="shared" si="160"/>
        <v>0.1519243696147235</v>
      </c>
      <c r="E427" s="171">
        <f t="shared" si="147"/>
        <v>30.6623733484721</v>
      </c>
      <c r="F427" s="171"/>
      <c r="G427" s="171">
        <f t="shared" si="155"/>
        <v>0.09160537349722785</v>
      </c>
      <c r="H427" s="171">
        <f t="shared" si="156"/>
        <v>0.09139840346462608</v>
      </c>
      <c r="I427" s="91">
        <f t="shared" si="164"/>
        <v>0.06675710780626118</v>
      </c>
      <c r="J427" s="91">
        <f t="shared" si="165"/>
        <v>29.745695056150083</v>
      </c>
      <c r="K427" s="172">
        <f t="shared" si="161"/>
        <v>0.05295796459762156</v>
      </c>
      <c r="L427" s="177">
        <f t="shared" si="148"/>
        <v>28.445420208357206</v>
      </c>
      <c r="M427" s="178">
        <f t="shared" si="149"/>
        <v>0.14738245858527402</v>
      </c>
      <c r="N427" s="403">
        <f t="shared" si="157"/>
        <v>0</v>
      </c>
      <c r="O427" s="177">
        <f t="shared" si="162"/>
        <v>0.0026017460945419275</v>
      </c>
      <c r="P427" s="174">
        <f t="shared" si="166"/>
        <v>0.0028445420208357206</v>
      </c>
      <c r="Q427" s="179">
        <f t="shared" si="150"/>
        <v>0.004954749193356027</v>
      </c>
      <c r="R427" s="179">
        <f t="shared" si="151"/>
        <v>0.010697007138415697</v>
      </c>
      <c r="S427" s="180">
        <f t="shared" si="152"/>
        <v>0.4631902296823054</v>
      </c>
      <c r="T427" s="179">
        <f t="shared" si="153"/>
        <v>0.9893029928615844</v>
      </c>
      <c r="U427" s="181">
        <f t="shared" si="154"/>
        <v>0.4954749193356027</v>
      </c>
      <c r="V427">
        <f>IF(ISNUMBER('Set-up'!C482)=FALSE,"",('Set-up'!C482-'EPP model'!U427)^2)</f>
      </c>
    </row>
    <row r="428" spans="1:22" ht="12.75">
      <c r="A428" s="91">
        <f t="shared" si="163"/>
        <v>2022.4999999999613</v>
      </c>
      <c r="B428" s="171">
        <f t="shared" si="158"/>
        <v>30.270539020952643</v>
      </c>
      <c r="C428" s="171">
        <f t="shared" si="159"/>
        <v>0.17626685125833655</v>
      </c>
      <c r="D428" s="172">
        <f t="shared" si="160"/>
        <v>0.15103910782855415</v>
      </c>
      <c r="E428" s="171">
        <f t="shared" si="147"/>
        <v>30.597844980039536</v>
      </c>
      <c r="F428" s="171"/>
      <c r="G428" s="171">
        <f t="shared" si="155"/>
        <v>0.09141259177011712</v>
      </c>
      <c r="H428" s="171">
        <f t="shared" si="156"/>
        <v>0.09120682774983063</v>
      </c>
      <c r="I428" s="91">
        <f t="shared" si="164"/>
        <v>0.06661756977162717</v>
      </c>
      <c r="J428" s="91">
        <f t="shared" si="165"/>
        <v>29.745695056150083</v>
      </c>
      <c r="K428" s="172">
        <f t="shared" si="161"/>
        <v>0.05294872630879992</v>
      </c>
      <c r="L428" s="177">
        <f t="shared" si="148"/>
        <v>28.379171957148994</v>
      </c>
      <c r="M428" s="178">
        <f t="shared" si="149"/>
        <v>0.14683266896580432</v>
      </c>
      <c r="N428" s="403">
        <f t="shared" si="157"/>
        <v>0</v>
      </c>
      <c r="O428" s="177">
        <f t="shared" si="162"/>
        <v>0.0025949814739123465</v>
      </c>
      <c r="P428" s="174">
        <f t="shared" si="166"/>
        <v>0.0028379171957148993</v>
      </c>
      <c r="Q428" s="179">
        <f t="shared" si="150"/>
        <v>0.004936266195448872</v>
      </c>
      <c r="R428" s="179">
        <f t="shared" si="151"/>
        <v>0.010697026516096421</v>
      </c>
      <c r="S428" s="180">
        <f t="shared" si="152"/>
        <v>0.46146152746475794</v>
      </c>
      <c r="T428" s="179">
        <f t="shared" si="153"/>
        <v>0.9893029734839035</v>
      </c>
      <c r="U428" s="181">
        <f t="shared" si="154"/>
        <v>0.49362661954488724</v>
      </c>
      <c r="V428">
        <f>IF(ISNUMBER('Set-up'!C483)=FALSE,"",('Set-up'!C483-'EPP model'!U428)^2)</f>
      </c>
    </row>
    <row r="429" spans="1:22" ht="12.75">
      <c r="A429" s="91">
        <f t="shared" si="163"/>
        <v>2022.5999999999613</v>
      </c>
      <c r="B429" s="171">
        <f t="shared" si="158"/>
        <v>30.206836196256624</v>
      </c>
      <c r="C429" s="171">
        <f t="shared" si="159"/>
        <v>0.1764604155149523</v>
      </c>
      <c r="D429" s="172">
        <f t="shared" si="160"/>
        <v>0.1501573668404187</v>
      </c>
      <c r="E429" s="171">
        <f t="shared" si="147"/>
        <v>30.533453978611995</v>
      </c>
      <c r="F429" s="171"/>
      <c r="G429" s="171">
        <f t="shared" si="155"/>
        <v>0.09122022043380228</v>
      </c>
      <c r="H429" s="171">
        <f t="shared" si="156"/>
        <v>0.09101565762936761</v>
      </c>
      <c r="I429" s="91">
        <f t="shared" si="164"/>
        <v>0.06647830415829803</v>
      </c>
      <c r="J429" s="91">
        <f t="shared" si="165"/>
        <v>29.745695056150083</v>
      </c>
      <c r="K429" s="172">
        <f t="shared" si="161"/>
        <v>0.0529390101816805</v>
      </c>
      <c r="L429" s="177">
        <f t="shared" si="148"/>
        <v>28.312853169439567</v>
      </c>
      <c r="M429" s="178">
        <f t="shared" si="149"/>
        <v>0.1462833273824267</v>
      </c>
      <c r="N429" s="403">
        <f t="shared" si="157"/>
        <v>0</v>
      </c>
      <c r="O429" s="177">
        <f t="shared" si="162"/>
        <v>0.002588173222046</v>
      </c>
      <c r="P429" s="174">
        <f t="shared" si="166"/>
        <v>0.0028312853169439565</v>
      </c>
      <c r="Q429" s="179">
        <f t="shared" si="150"/>
        <v>0.004917798259757989</v>
      </c>
      <c r="R429" s="179">
        <f t="shared" si="151"/>
        <v>0.010697046674908102</v>
      </c>
      <c r="S429" s="180">
        <f t="shared" si="152"/>
        <v>0.4597342060116081</v>
      </c>
      <c r="T429" s="179">
        <f t="shared" si="153"/>
        <v>0.9893029533250919</v>
      </c>
      <c r="U429" s="181">
        <f t="shared" si="154"/>
        <v>0.4917798259757989</v>
      </c>
      <c r="V429">
        <f>IF(ISNUMBER('Set-up'!C484)=FALSE,"",('Set-up'!C484-'EPP model'!U429)^2)</f>
      </c>
    </row>
    <row r="430" spans="1:22" ht="12.75">
      <c r="A430" s="91">
        <f t="shared" si="163"/>
        <v>2022.6999999999612</v>
      </c>
      <c r="B430" s="171">
        <f t="shared" si="158"/>
        <v>30.143268961040878</v>
      </c>
      <c r="C430" s="171">
        <f t="shared" si="159"/>
        <v>0.17665199283228025</v>
      </c>
      <c r="D430" s="172">
        <f t="shared" si="160"/>
        <v>0.14927909567489867</v>
      </c>
      <c r="E430" s="171">
        <f t="shared" si="147"/>
        <v>30.469200049548057</v>
      </c>
      <c r="F430" s="171"/>
      <c r="G430" s="171">
        <f t="shared" si="155"/>
        <v>0.09102825860802731</v>
      </c>
      <c r="H430" s="171">
        <f t="shared" si="156"/>
        <v>0.09082489229242602</v>
      </c>
      <c r="I430" s="91">
        <f t="shared" si="164"/>
        <v>0.06633931163835487</v>
      </c>
      <c r="J430" s="91">
        <f t="shared" si="165"/>
        <v>29.745695056150083</v>
      </c>
      <c r="K430" s="172">
        <f t="shared" si="161"/>
        <v>0.0529289041756711</v>
      </c>
      <c r="L430" s="177">
        <f t="shared" si="148"/>
        <v>28.24650971860016</v>
      </c>
      <c r="M430" s="178">
        <f t="shared" si="149"/>
        <v>0.14573439574988947</v>
      </c>
      <c r="N430" s="403">
        <f t="shared" si="157"/>
        <v>0</v>
      </c>
      <c r="O430" s="177">
        <f t="shared" si="162"/>
        <v>0.0025813216732812816</v>
      </c>
      <c r="P430" s="174">
        <f t="shared" si="166"/>
        <v>0.002824650971860016</v>
      </c>
      <c r="Q430" s="179">
        <f t="shared" si="150"/>
        <v>0.004899344105921576</v>
      </c>
      <c r="R430" s="179">
        <f t="shared" si="151"/>
        <v>0.01069706746410014</v>
      </c>
      <c r="S430" s="180">
        <f t="shared" si="152"/>
        <v>0.45800815245524107</v>
      </c>
      <c r="T430" s="179">
        <f t="shared" si="153"/>
        <v>0.9893029325358998</v>
      </c>
      <c r="U430" s="181">
        <f t="shared" si="154"/>
        <v>0.4899344105921576</v>
      </c>
      <c r="V430">
        <f>IF(ISNUMBER('Set-up'!C485)=FALSE,"",('Set-up'!C485-'EPP model'!U430)^2)</f>
      </c>
    </row>
    <row r="431" spans="1:22" ht="12.75">
      <c r="A431" s="91">
        <f t="shared" si="163"/>
        <v>2022.799999999961</v>
      </c>
      <c r="B431" s="171">
        <f t="shared" si="158"/>
        <v>30.079837025198444</v>
      </c>
      <c r="C431" s="171">
        <f t="shared" si="159"/>
        <v>0.17684163100651004</v>
      </c>
      <c r="D431" s="172">
        <f t="shared" si="160"/>
        <v>0.14840423929826074</v>
      </c>
      <c r="E431" s="171">
        <f t="shared" si="147"/>
        <v>30.405082895503217</v>
      </c>
      <c r="F431" s="171"/>
      <c r="G431" s="171">
        <f t="shared" si="155"/>
        <v>0.09083670540446065</v>
      </c>
      <c r="H431" s="171">
        <f t="shared" si="156"/>
        <v>0.09063453092564797</v>
      </c>
      <c r="I431" s="91">
        <f t="shared" si="164"/>
        <v>0.06620059286317792</v>
      </c>
      <c r="J431" s="91">
        <f t="shared" si="165"/>
        <v>29.745695056150083</v>
      </c>
      <c r="K431" s="172">
        <f t="shared" si="161"/>
        <v>0.05291848405539832</v>
      </c>
      <c r="L431" s="177">
        <f t="shared" si="148"/>
        <v>28.1801840590754</v>
      </c>
      <c r="M431" s="178">
        <f t="shared" si="149"/>
        <v>0.14518583167089005</v>
      </c>
      <c r="N431" s="403">
        <f t="shared" si="157"/>
        <v>0</v>
      </c>
      <c r="O431" s="177">
        <f t="shared" si="162"/>
        <v>0.002574427143342617</v>
      </c>
      <c r="P431" s="174">
        <f t="shared" si="166"/>
        <v>0.00281801840590754</v>
      </c>
      <c r="Q431" s="179">
        <f t="shared" si="150"/>
        <v>0.004880902308613969</v>
      </c>
      <c r="R431" s="179">
        <f t="shared" si="151"/>
        <v>0.010697088753962032</v>
      </c>
      <c r="S431" s="180">
        <f t="shared" si="152"/>
        <v>0.45628323938194487</v>
      </c>
      <c r="T431" s="179">
        <f t="shared" si="153"/>
        <v>0.9893029112460379</v>
      </c>
      <c r="U431" s="181">
        <f t="shared" si="154"/>
        <v>0.4880902308613969</v>
      </c>
      <c r="V431">
        <f>IF(ISNUMBER('Set-up'!C486)=FALSE,"",('Set-up'!C486-'EPP model'!U431)^2)</f>
      </c>
    </row>
    <row r="432" spans="1:22" ht="12.75">
      <c r="A432" s="91">
        <f t="shared" si="163"/>
        <v>2022.899999999961</v>
      </c>
      <c r="B432" s="171">
        <f t="shared" si="158"/>
        <v>30.0165400966006</v>
      </c>
      <c r="C432" s="171">
        <f t="shared" si="159"/>
        <v>0.1770293818330392</v>
      </c>
      <c r="D432" s="172">
        <f t="shared" si="160"/>
        <v>0.1475327389565479</v>
      </c>
      <c r="E432" s="171">
        <f t="shared" si="147"/>
        <v>30.34110221739019</v>
      </c>
      <c r="F432" s="171"/>
      <c r="G432" s="171">
        <f t="shared" si="155"/>
        <v>0.09064555992956408</v>
      </c>
      <c r="H432" s="171">
        <f t="shared" si="156"/>
        <v>0.09044457271553712</v>
      </c>
      <c r="I432" s="91">
        <f t="shared" si="164"/>
        <v>0.06606214909126314</v>
      </c>
      <c r="J432" s="91">
        <f t="shared" si="165"/>
        <v>29.745695056150083</v>
      </c>
      <c r="K432" s="172">
        <f t="shared" si="161"/>
        <v>0.05290781499277957</v>
      </c>
      <c r="L432" s="177">
        <f t="shared" si="148"/>
        <v>28.113916476523233</v>
      </c>
      <c r="M432" s="178">
        <f t="shared" si="149"/>
        <v>0.14463758871900154</v>
      </c>
      <c r="N432" s="403">
        <f t="shared" si="157"/>
        <v>0</v>
      </c>
      <c r="O432" s="177">
        <f t="shared" si="162"/>
        <v>0.002567489927171682</v>
      </c>
      <c r="P432" s="174">
        <f t="shared" si="166"/>
        <v>0.002811391647652323</v>
      </c>
      <c r="Q432" s="179">
        <f t="shared" si="150"/>
        <v>0.004862471307057151</v>
      </c>
      <c r="R432" s="179">
        <f t="shared" si="151"/>
        <v>0.01069711042348232</v>
      </c>
      <c r="S432" s="180">
        <f t="shared" si="152"/>
        <v>0.4545593262628236</v>
      </c>
      <c r="T432" s="179">
        <f t="shared" si="153"/>
        <v>0.9893028895765176</v>
      </c>
      <c r="U432" s="181">
        <f t="shared" si="154"/>
        <v>0.48624713070571507</v>
      </c>
      <c r="V432">
        <f>IF(ISNUMBER('Set-up'!C487)=FALSE,"",('Set-up'!C487-'EPP model'!U432)^2)</f>
      </c>
    </row>
    <row r="433" spans="1:22" ht="12.75">
      <c r="A433" s="91">
        <f t="shared" si="163"/>
        <v>2022.999999999961</v>
      </c>
      <c r="B433" s="171">
        <f t="shared" si="158"/>
        <v>29.953377880240126</v>
      </c>
      <c r="C433" s="171">
        <f t="shared" si="159"/>
        <v>0.1772153007239049</v>
      </c>
      <c r="D433" s="172">
        <f t="shared" si="160"/>
        <v>0.14666453238038926</v>
      </c>
      <c r="E433" s="171">
        <f t="shared" si="147"/>
        <v>30.27725771334442</v>
      </c>
      <c r="F433" s="171"/>
      <c r="G433" s="171">
        <f t="shared" si="155"/>
        <v>0.09045482128150213</v>
      </c>
      <c r="H433" s="171">
        <f t="shared" si="156"/>
        <v>0.09025501684508899</v>
      </c>
      <c r="I433" s="91">
        <f t="shared" si="164"/>
        <v>0.0659239803224078</v>
      </c>
      <c r="J433" s="91">
        <f t="shared" si="165"/>
        <v>29.745695056150083</v>
      </c>
      <c r="K433" s="172">
        <f t="shared" si="161"/>
        <v>0.052896957756201554</v>
      </c>
      <c r="L433" s="177">
        <f t="shared" si="148"/>
        <v>28.04774497777669</v>
      </c>
      <c r="M433" s="178">
        <f t="shared" si="149"/>
        <v>0.1440896166041192</v>
      </c>
      <c r="N433" s="403">
        <f t="shared" si="157"/>
        <v>0</v>
      </c>
      <c r="O433" s="177">
        <f t="shared" si="162"/>
        <v>0.0025605102920746208</v>
      </c>
      <c r="P433" s="174">
        <f t="shared" si="166"/>
        <v>0.0028047744977776692</v>
      </c>
      <c r="Q433" s="179">
        <f t="shared" si="150"/>
        <v>0.00484404941058279</v>
      </c>
      <c r="R433" s="179">
        <f t="shared" si="151"/>
        <v>0.01069713235494069</v>
      </c>
      <c r="S433" s="180">
        <f t="shared" si="152"/>
        <v>0.4528362602100054</v>
      </c>
      <c r="T433" s="179">
        <f t="shared" si="153"/>
        <v>0.9893028676450594</v>
      </c>
      <c r="U433" s="181">
        <f t="shared" si="154"/>
        <v>0.48440494105827897</v>
      </c>
      <c r="V433">
        <f>IF(ISNUMBER('Set-up'!$N$50)=FALSE,"",('Set-up'!$N$50-'EPP model'!U433)^2)</f>
      </c>
    </row>
    <row r="434" spans="1:22" ht="12.75">
      <c r="A434" s="91">
        <f t="shared" si="163"/>
        <v>2023.0999999999608</v>
      </c>
      <c r="B434" s="171">
        <f t="shared" si="158"/>
        <v>29.890350078929586</v>
      </c>
      <c r="C434" s="171">
        <f t="shared" si="159"/>
        <v>0.1773994466091286</v>
      </c>
      <c r="D434" s="172">
        <f t="shared" si="160"/>
        <v>0.14579955399600375</v>
      </c>
      <c r="E434" s="171">
        <f t="shared" si="147"/>
        <v>30.21354907953472</v>
      </c>
      <c r="F434" s="171"/>
      <c r="G434" s="171">
        <f t="shared" si="155"/>
        <v>0.09026448855256397</v>
      </c>
      <c r="H434" s="171">
        <f t="shared" si="156"/>
        <v>0.09006586249592537</v>
      </c>
      <c r="I434" s="91">
        <f t="shared" si="164"/>
        <v>0.06578608712756388</v>
      </c>
      <c r="J434" s="91">
        <f t="shared" si="165"/>
        <v>29.745695056150083</v>
      </c>
      <c r="K434" s="172">
        <f t="shared" si="161"/>
        <v>0.052885971420872965</v>
      </c>
      <c r="L434" s="177">
        <f t="shared" si="148"/>
        <v>27.98170555214075</v>
      </c>
      <c r="M434" s="178">
        <f t="shared" si="149"/>
        <v>0.1435418613374832</v>
      </c>
      <c r="N434" s="403">
        <f t="shared" si="157"/>
        <v>0</v>
      </c>
      <c r="O434" s="177">
        <f t="shared" si="162"/>
        <v>0.0025534884737691147</v>
      </c>
      <c r="P434" s="174">
        <f t="shared" si="166"/>
        <v>0.002798170555214075</v>
      </c>
      <c r="Q434" s="179">
        <f t="shared" si="150"/>
        <v>0.004825634804180014</v>
      </c>
      <c r="R434" s="179">
        <f t="shared" si="151"/>
        <v>0.01069715443737964</v>
      </c>
      <c r="S434" s="180">
        <f t="shared" si="152"/>
        <v>0.45111387635178374</v>
      </c>
      <c r="T434" s="179">
        <f t="shared" si="153"/>
        <v>0.9893028455626204</v>
      </c>
      <c r="U434" s="181">
        <f t="shared" si="154"/>
        <v>0.4825634804180014</v>
      </c>
      <c r="V434">
        <f>IF(ISNUMBER('Set-up'!C489)=FALSE,"",('Set-up'!C489-'EPP model'!U434)^2)</f>
      </c>
    </row>
    <row r="435" spans="1:22" ht="12.75">
      <c r="A435" s="91">
        <f t="shared" si="163"/>
        <v>2023.1999999999607</v>
      </c>
      <c r="B435" s="171">
        <f t="shared" si="158"/>
        <v>29.827456393573147</v>
      </c>
      <c r="C435" s="171">
        <f t="shared" si="159"/>
        <v>0.17758188169540837</v>
      </c>
      <c r="D435" s="172">
        <f t="shared" si="160"/>
        <v>0.1449377351094581</v>
      </c>
      <c r="E435" s="171">
        <f t="shared" si="147"/>
        <v>30.149976010378015</v>
      </c>
      <c r="F435" s="171"/>
      <c r="G435" s="171">
        <f t="shared" si="155"/>
        <v>0.09007456082980486</v>
      </c>
      <c r="H435" s="171">
        <f t="shared" si="156"/>
        <v>0.08987710884868488</v>
      </c>
      <c r="I435" s="91">
        <f t="shared" si="164"/>
        <v>0.06564847008246033</v>
      </c>
      <c r="J435" s="91">
        <f t="shared" si="165"/>
        <v>29.745695056150083</v>
      </c>
      <c r="K435" s="172">
        <f t="shared" si="161"/>
        <v>0.052874911629990876</v>
      </c>
      <c r="L435" s="177">
        <f t="shared" si="148"/>
        <v>27.915832210643437</v>
      </c>
      <c r="M435" s="178">
        <f t="shared" si="149"/>
        <v>0.14299426537556784</v>
      </c>
      <c r="N435" s="403">
        <f t="shared" si="157"/>
        <v>0</v>
      </c>
      <c r="O435" s="177">
        <f t="shared" si="162"/>
        <v>0.0025464246766513793</v>
      </c>
      <c r="P435" s="174">
        <f t="shared" si="166"/>
        <v>0.0027915832210643437</v>
      </c>
      <c r="Q435" s="179">
        <f t="shared" si="150"/>
        <v>0.004807225553332734</v>
      </c>
      <c r="R435" s="179">
        <f t="shared" si="151"/>
        <v>0.010697176564712722</v>
      </c>
      <c r="S435" s="180">
        <f t="shared" si="152"/>
        <v>0.4493919983699768</v>
      </c>
      <c r="T435" s="179">
        <f t="shared" si="153"/>
        <v>0.9893028234352872</v>
      </c>
      <c r="U435" s="181">
        <f t="shared" si="154"/>
        <v>0.4807225553332734</v>
      </c>
      <c r="V435">
        <f>IF(ISNUMBER('Set-up'!C490)=FALSE,"",('Set-up'!C490-'EPP model'!U435)^2)</f>
      </c>
    </row>
    <row r="436" spans="1:22" ht="12.75">
      <c r="A436" s="91">
        <f t="shared" si="163"/>
        <v>2023.2999999999606</v>
      </c>
      <c r="B436" s="171">
        <f t="shared" si="158"/>
        <v>29.76469652334787</v>
      </c>
      <c r="C436" s="171">
        <f t="shared" si="159"/>
        <v>0.1777626712912892</v>
      </c>
      <c r="D436" s="172">
        <f t="shared" si="160"/>
        <v>0.14407900408413735</v>
      </c>
      <c r="E436" s="171">
        <f t="shared" si="147"/>
        <v>30.086538198723296</v>
      </c>
      <c r="F436" s="171"/>
      <c r="G436" s="171">
        <f t="shared" si="155"/>
        <v>0.0898850371955958</v>
      </c>
      <c r="H436" s="171">
        <f t="shared" si="156"/>
        <v>0.08968875508333068</v>
      </c>
      <c r="I436" s="91">
        <f t="shared" si="164"/>
        <v>0.06551112974159323</v>
      </c>
      <c r="J436" s="91">
        <f t="shared" si="165"/>
        <v>29.745695056150083</v>
      </c>
      <c r="K436" s="172">
        <f t="shared" si="161"/>
        <v>0.052863831544702866</v>
      </c>
      <c r="L436" s="177">
        <f t="shared" si="148"/>
        <v>27.850156986801117</v>
      </c>
      <c r="M436" s="178">
        <f t="shared" si="149"/>
        <v>0.14244676775948967</v>
      </c>
      <c r="N436" s="403">
        <f t="shared" si="157"/>
        <v>0</v>
      </c>
      <c r="O436" s="177">
        <f t="shared" si="162"/>
        <v>0.002539319071704592</v>
      </c>
      <c r="P436" s="174">
        <f t="shared" si="166"/>
        <v>0.0027850156986801117</v>
      </c>
      <c r="Q436" s="179">
        <f t="shared" si="150"/>
        <v>0.004788819608706303</v>
      </c>
      <c r="R436" s="179">
        <f t="shared" si="151"/>
        <v>0.010697198635803293</v>
      </c>
      <c r="S436" s="180">
        <f t="shared" si="152"/>
        <v>0.44767043893886643</v>
      </c>
      <c r="T436" s="179">
        <f t="shared" si="153"/>
        <v>0.9893028013641967</v>
      </c>
      <c r="U436" s="181">
        <f t="shared" si="154"/>
        <v>0.4788819608706303</v>
      </c>
      <c r="V436">
        <f>IF(ISNUMBER('Set-up'!C491)=FALSE,"",('Set-up'!C491-'EPP model'!U436)^2)</f>
      </c>
    </row>
    <row r="437" spans="1:22" ht="12.75">
      <c r="A437" s="91">
        <f t="shared" si="163"/>
        <v>2023.3999999999605</v>
      </c>
      <c r="B437" s="171">
        <f t="shared" si="158"/>
        <v>29.702070165776203</v>
      </c>
      <c r="C437" s="171">
        <f t="shared" si="159"/>
        <v>0.1779418836275215</v>
      </c>
      <c r="D437" s="172">
        <f t="shared" si="160"/>
        <v>0.1432232865162708</v>
      </c>
      <c r="E437" s="171">
        <f t="shared" si="147"/>
        <v>30.023235335919995</v>
      </c>
      <c r="F437" s="171"/>
      <c r="G437" s="171">
        <f t="shared" si="155"/>
        <v>0.0896959167278278</v>
      </c>
      <c r="H437" s="171">
        <f t="shared" si="156"/>
        <v>0.08950080037911574</v>
      </c>
      <c r="I437" s="91">
        <f t="shared" si="164"/>
        <v>0.06537406652353968</v>
      </c>
      <c r="J437" s="91">
        <f t="shared" si="165"/>
        <v>29.745695056150083</v>
      </c>
      <c r="K437" s="172">
        <f t="shared" si="161"/>
        <v>0.05285278180643006</v>
      </c>
      <c r="L437" s="177">
        <f t="shared" si="148"/>
        <v>27.784726492517247</v>
      </c>
      <c r="M437" s="178">
        <f t="shared" si="149"/>
        <v>0.14189930425504746</v>
      </c>
      <c r="N437" s="403">
        <f t="shared" si="157"/>
        <v>0</v>
      </c>
      <c r="O437" s="177">
        <f t="shared" si="162"/>
        <v>0.0025321717953736777</v>
      </c>
      <c r="P437" s="174">
        <f t="shared" si="166"/>
        <v>0.0027784726492517246</v>
      </c>
      <c r="Q437" s="179">
        <f t="shared" si="150"/>
        <v>0.0047704148108554285</v>
      </c>
      <c r="R437" s="179">
        <f t="shared" si="151"/>
        <v>0.01069722055436005</v>
      </c>
      <c r="S437" s="180">
        <f t="shared" si="152"/>
        <v>0.4459490001737946</v>
      </c>
      <c r="T437" s="179">
        <f t="shared" si="153"/>
        <v>0.9893027794456399</v>
      </c>
      <c r="U437" s="181">
        <f t="shared" si="154"/>
        <v>0.47704148108554284</v>
      </c>
      <c r="V437">
        <f>IF(ISNUMBER('Set-up'!C492)=FALSE,"",('Set-up'!C492-'EPP model'!U437)^2)</f>
      </c>
    </row>
    <row r="438" spans="1:22" ht="12.75">
      <c r="A438" s="91">
        <f t="shared" si="163"/>
        <v>2023.4999999999604</v>
      </c>
      <c r="B438" s="171">
        <f t="shared" si="158"/>
        <v>29.63957701712321</v>
      </c>
      <c r="C438" s="171">
        <f t="shared" si="159"/>
        <v>0.1781195897031468</v>
      </c>
      <c r="D438" s="172">
        <f t="shared" si="160"/>
        <v>0.14237050375302637</v>
      </c>
      <c r="E438" s="171">
        <f aca="true" t="shared" si="167" ref="E438:E501">B438+C438+D438</f>
        <v>29.96006711057938</v>
      </c>
      <c r="F438" s="171"/>
      <c r="G438" s="171">
        <f t="shared" si="155"/>
        <v>0.08950719849621144</v>
      </c>
      <c r="H438" s="171">
        <f t="shared" si="156"/>
        <v>0.08931324391290121</v>
      </c>
      <c r="I438" s="91">
        <f t="shared" si="164"/>
        <v>0.06523728105983427</v>
      </c>
      <c r="J438" s="91">
        <f t="shared" si="165"/>
        <v>29.745695056150083</v>
      </c>
      <c r="K438" s="172">
        <f t="shared" si="161"/>
        <v>0.05284181059136093</v>
      </c>
      <c r="L438" s="177">
        <f aca="true" t="shared" si="168" ref="L438:L501">phi*P438</f>
        <v>27.71953927599878</v>
      </c>
      <c r="M438" s="178">
        <f aca="true" t="shared" si="169" ref="M438:M501">MIN(1,J438*D438/E438)</f>
        <v>0.141351805855354</v>
      </c>
      <c r="N438" s="403">
        <f t="shared" si="157"/>
        <v>0</v>
      </c>
      <c r="O438" s="177">
        <f t="shared" si="162"/>
        <v>0.002524982948457792</v>
      </c>
      <c r="P438" s="174">
        <f t="shared" si="166"/>
        <v>0.002771953927599878</v>
      </c>
      <c r="Q438" s="179">
        <f aca="true" t="shared" si="170" ref="Q438:Q501">D438/E438</f>
        <v>0.004752008839885177</v>
      </c>
      <c r="R438" s="179">
        <f aca="true" t="shared" si="171" ref="R438:R501">(C438+D438)/E438</f>
        <v>0.010697242174834882</v>
      </c>
      <c r="S438" s="180">
        <f aca="true" t="shared" si="172" ref="S438:S501">D438/(C438+D438)</f>
        <v>0.4442274711760956</v>
      </c>
      <c r="T438" s="179">
        <f aca="true" t="shared" si="173" ref="T438:T501">B438/E438</f>
        <v>0.9893027578251652</v>
      </c>
      <c r="U438" s="181">
        <f aca="true" t="shared" si="174" ref="U438:U501">Q438*100</f>
        <v>0.47520088398851773</v>
      </c>
      <c r="V438">
        <f>IF(ISNUMBER('Set-up'!C493)=FALSE,"",('Set-up'!C493-'EPP model'!U438)^2)</f>
      </c>
    </row>
    <row r="439" spans="1:22" ht="12.75">
      <c r="A439" s="91">
        <f t="shared" si="163"/>
        <v>2023.5999999999603</v>
      </c>
      <c r="B439" s="171">
        <f t="shared" si="158"/>
        <v>29.57721677069939</v>
      </c>
      <c r="C439" s="171">
        <f t="shared" si="159"/>
        <v>0.1782958649082268</v>
      </c>
      <c r="D439" s="172">
        <f t="shared" si="160"/>
        <v>0.1415205776511788</v>
      </c>
      <c r="E439" s="171">
        <f t="shared" si="167"/>
        <v>29.897033213258794</v>
      </c>
      <c r="F439" s="171"/>
      <c r="G439" s="171">
        <f t="shared" si="155"/>
        <v>0.08931888157627133</v>
      </c>
      <c r="H439" s="171">
        <f t="shared" si="156"/>
        <v>0.08912608486666795</v>
      </c>
      <c r="I439" s="91">
        <f t="shared" si="164"/>
        <v>0.06510077384840728</v>
      </c>
      <c r="J439" s="91">
        <f t="shared" si="165"/>
        <v>29.745695056150083</v>
      </c>
      <c r="K439" s="172">
        <f t="shared" si="161"/>
        <v>0.05283099068634168</v>
      </c>
      <c r="L439" s="177">
        <f t="shared" si="168"/>
        <v>27.654626082436064</v>
      </c>
      <c r="M439" s="178">
        <f t="shared" si="169"/>
        <v>0.1408042034456877</v>
      </c>
      <c r="N439" s="403">
        <f t="shared" si="157"/>
        <v>0</v>
      </c>
      <c r="O439" s="177">
        <f t="shared" si="162"/>
        <v>0.002517752566275452</v>
      </c>
      <c r="P439" s="174">
        <f t="shared" si="166"/>
        <v>0.0027654626082436063</v>
      </c>
      <c r="Q439" s="179">
        <f t="shared" si="170"/>
        <v>0.0047335993722754065</v>
      </c>
      <c r="R439" s="179">
        <f t="shared" si="171"/>
        <v>0.010697263513677766</v>
      </c>
      <c r="S439" s="180">
        <f t="shared" si="172"/>
        <v>0.4425056339149651</v>
      </c>
      <c r="T439" s="179">
        <f t="shared" si="173"/>
        <v>0.9893027364863223</v>
      </c>
      <c r="U439" s="181">
        <f t="shared" si="174"/>
        <v>0.47335993722754066</v>
      </c>
      <c r="V439">
        <f>IF(ISNUMBER('Set-up'!C494)=FALSE,"",('Set-up'!C494-'EPP model'!U439)^2)</f>
      </c>
    </row>
    <row r="440" spans="1:22" ht="12.75">
      <c r="A440" s="91">
        <f t="shared" si="163"/>
        <v>2023.6999999999603</v>
      </c>
      <c r="B440" s="171">
        <f t="shared" si="158"/>
        <v>29.51498912216346</v>
      </c>
      <c r="C440" s="171">
        <f t="shared" si="159"/>
        <v>0.1784707836565789</v>
      </c>
      <c r="D440" s="172">
        <f t="shared" si="160"/>
        <v>0.14067342739474037</v>
      </c>
      <c r="E440" s="171">
        <f t="shared" si="167"/>
        <v>29.83413333321478</v>
      </c>
      <c r="F440" s="171"/>
      <c r="G440" s="171">
        <f t="shared" si="155"/>
        <v>0.08913096503964583</v>
      </c>
      <c r="H440" s="171">
        <f t="shared" si="156"/>
        <v>0.08893932242215183</v>
      </c>
      <c r="I440" s="91">
        <f t="shared" si="164"/>
        <v>0.06496454536817685</v>
      </c>
      <c r="J440" s="91">
        <f t="shared" si="165"/>
        <v>29.745695056150083</v>
      </c>
      <c r="K440" s="172">
        <f t="shared" si="161"/>
        <v>0.052820313774409336</v>
      </c>
      <c r="L440" s="177">
        <f t="shared" si="168"/>
        <v>27.59001733261132</v>
      </c>
      <c r="M440" s="178">
        <f t="shared" si="169"/>
        <v>0.14025642464796623</v>
      </c>
      <c r="N440" s="403">
        <f t="shared" si="157"/>
        <v>0</v>
      </c>
      <c r="O440" s="177">
        <f t="shared" si="162"/>
        <v>0.0025104807236062815</v>
      </c>
      <c r="P440" s="174">
        <f t="shared" si="166"/>
        <v>0.002759001733261132</v>
      </c>
      <c r="Q440" s="179">
        <f t="shared" si="170"/>
        <v>0.004715183974797303</v>
      </c>
      <c r="R440" s="179">
        <f t="shared" si="171"/>
        <v>0.01069728446564296</v>
      </c>
      <c r="S440" s="180">
        <f t="shared" si="172"/>
        <v>0.440783265130633</v>
      </c>
      <c r="T440" s="179">
        <f t="shared" si="173"/>
        <v>0.989302715534357</v>
      </c>
      <c r="U440" s="181">
        <f t="shared" si="174"/>
        <v>0.47151839747973034</v>
      </c>
      <c r="V440">
        <f>IF(ISNUMBER('Set-up'!C495)=FALSE,"",('Set-up'!C495-'EPP model'!U440)^2)</f>
      </c>
    </row>
    <row r="441" spans="1:22" ht="12.75">
      <c r="A441" s="91">
        <f t="shared" si="163"/>
        <v>2023.7999999999602</v>
      </c>
      <c r="B441" s="171">
        <f t="shared" si="158"/>
        <v>29.452893765544385</v>
      </c>
      <c r="C441" s="171">
        <f t="shared" si="159"/>
        <v>0.1786444234337664</v>
      </c>
      <c r="D441" s="172">
        <f t="shared" si="160"/>
        <v>0.13982896944533457</v>
      </c>
      <c r="E441" s="171">
        <f t="shared" si="167"/>
        <v>29.771367158423487</v>
      </c>
      <c r="F441" s="171"/>
      <c r="G441" s="171">
        <f t="shared" si="155"/>
        <v>0.0889434479541481</v>
      </c>
      <c r="H441" s="171">
        <f t="shared" si="156"/>
        <v>0.08875295576097222</v>
      </c>
      <c r="I441" s="91">
        <f t="shared" si="164"/>
        <v>0.06482859608058757</v>
      </c>
      <c r="J441" s="91">
        <f t="shared" si="165"/>
        <v>29.745695056150083</v>
      </c>
      <c r="K441" s="172">
        <f t="shared" si="161"/>
        <v>0.05280983241948001</v>
      </c>
      <c r="L441" s="177">
        <f t="shared" si="168"/>
        <v>27.525736459002147</v>
      </c>
      <c r="M441" s="178">
        <f t="shared" si="169"/>
        <v>0.13970839373964786</v>
      </c>
      <c r="N441" s="403">
        <f t="shared" si="157"/>
        <v>0</v>
      </c>
      <c r="O441" s="177">
        <f t="shared" si="162"/>
        <v>0.002503167401979244</v>
      </c>
      <c r="P441" s="174">
        <f t="shared" si="166"/>
        <v>0.0027525736459002147</v>
      </c>
      <c r="Q441" s="179">
        <f t="shared" si="170"/>
        <v>0.004696760101786978</v>
      </c>
      <c r="R441" s="179">
        <f t="shared" si="171"/>
        <v>0.010697304936800404</v>
      </c>
      <c r="S441" s="180">
        <f t="shared" si="172"/>
        <v>0.43906013052216425</v>
      </c>
      <c r="T441" s="179">
        <f t="shared" si="173"/>
        <v>0.9893026950631996</v>
      </c>
      <c r="U441" s="181">
        <f t="shared" si="174"/>
        <v>0.46967601017869776</v>
      </c>
      <c r="V441">
        <f>IF(ISNUMBER('Set-up'!C496)=FALSE,"",('Set-up'!C496-'EPP model'!U441)^2)</f>
      </c>
    </row>
    <row r="442" spans="1:22" ht="12.75">
      <c r="A442" s="91">
        <f t="shared" si="163"/>
        <v>2023.89999999996</v>
      </c>
      <c r="B442" s="171">
        <f t="shared" si="158"/>
        <v>29.390930393629</v>
      </c>
      <c r="C442" s="171">
        <f t="shared" si="159"/>
        <v>0.17881686442457162</v>
      </c>
      <c r="D442" s="172">
        <f t="shared" si="160"/>
        <v>0.13898711821434237</v>
      </c>
      <c r="E442" s="171">
        <f t="shared" si="167"/>
        <v>29.708734376267913</v>
      </c>
      <c r="F442" s="171"/>
      <c r="G442" s="171">
        <f t="shared" si="155"/>
        <v>0.08875632938581922</v>
      </c>
      <c r="H442" s="171">
        <f t="shared" si="156"/>
        <v>0.08856698406576952</v>
      </c>
      <c r="I442" s="91">
        <f t="shared" si="164"/>
        <v>0.06469292643011255</v>
      </c>
      <c r="J442" s="91">
        <f t="shared" si="165"/>
        <v>29.745695056150083</v>
      </c>
      <c r="K442" s="172">
        <f t="shared" si="161"/>
        <v>0.05279959348859052</v>
      </c>
      <c r="L442" s="177">
        <f t="shared" si="168"/>
        <v>27.461803990604583</v>
      </c>
      <c r="M442" s="178">
        <f t="shared" si="169"/>
        <v>0.13916003229136106</v>
      </c>
      <c r="N442" s="403">
        <f t="shared" si="157"/>
        <v>0</v>
      </c>
      <c r="O442" s="177">
        <f t="shared" si="162"/>
        <v>0.0024958125448477013</v>
      </c>
      <c r="P442" s="174">
        <f t="shared" si="166"/>
        <v>0.0027461803990604583</v>
      </c>
      <c r="Q442" s="179">
        <f t="shared" si="170"/>
        <v>0.004678325116581499</v>
      </c>
      <c r="R442" s="179">
        <f t="shared" si="171"/>
        <v>0.010697324854497463</v>
      </c>
      <c r="S442" s="180">
        <f t="shared" si="172"/>
        <v>0.43733598635312976</v>
      </c>
      <c r="T442" s="179">
        <f t="shared" si="173"/>
        <v>0.9893026751455025</v>
      </c>
      <c r="U442" s="181">
        <f t="shared" si="174"/>
        <v>0.46783251165814993</v>
      </c>
      <c r="V442">
        <f>IF(ISNUMBER('Set-up'!C497)=FALSE,"",('Set-up'!C497-'EPP model'!U442)^2)</f>
      </c>
    </row>
    <row r="443" spans="1:22" ht="12.75">
      <c r="A443" s="91">
        <f t="shared" si="163"/>
        <v>2023.99999999996</v>
      </c>
      <c r="B443" s="171">
        <f t="shared" si="158"/>
        <v>29.32909869905385</v>
      </c>
      <c r="C443" s="171">
        <f t="shared" si="159"/>
        <v>0.17898818884141124</v>
      </c>
      <c r="D443" s="172">
        <f t="shared" si="160"/>
        <v>0.13814778632892055</v>
      </c>
      <c r="E443" s="171">
        <f t="shared" si="167"/>
        <v>29.646234674224186</v>
      </c>
      <c r="F443" s="171"/>
      <c r="G443" s="171">
        <f t="shared" si="155"/>
        <v>0.08856960840097848</v>
      </c>
      <c r="H443" s="171">
        <f t="shared" si="156"/>
        <v>0.08838140652189307</v>
      </c>
      <c r="I443" s="91">
        <f t="shared" si="164"/>
        <v>0.06455753725468498</v>
      </c>
      <c r="J443" s="91">
        <f t="shared" si="165"/>
        <v>29.745695056150083</v>
      </c>
      <c r="K443" s="172">
        <f t="shared" si="161"/>
        <v>0.052789633177710446</v>
      </c>
      <c r="L443" s="177">
        <f t="shared" si="168"/>
        <v>27.398238505353675</v>
      </c>
      <c r="M443" s="178">
        <f t="shared" si="169"/>
        <v>0.13861125940539992</v>
      </c>
      <c r="N443" s="403">
        <f t="shared" si="157"/>
        <v>0</v>
      </c>
      <c r="O443" s="177">
        <f t="shared" si="162"/>
        <v>0.002488416062756332</v>
      </c>
      <c r="P443" s="174">
        <f t="shared" si="166"/>
        <v>0.0027398238505353676</v>
      </c>
      <c r="Q443" s="179">
        <f t="shared" si="170"/>
        <v>0.004659876299536705</v>
      </c>
      <c r="R443" s="179">
        <f t="shared" si="171"/>
        <v>0.010697344153659572</v>
      </c>
      <c r="S443" s="180">
        <f t="shared" si="172"/>
        <v>0.43561058077602904</v>
      </c>
      <c r="T443" s="179">
        <f t="shared" si="173"/>
        <v>0.9893026558463404</v>
      </c>
      <c r="U443" s="181">
        <f t="shared" si="174"/>
        <v>0.4659876299536705</v>
      </c>
      <c r="V443">
        <f>IF(ISNUMBER('Set-up'!$N$51)=FALSE,"",('Set-up'!$N$51-'EPP model'!U443)^2)</f>
      </c>
    </row>
    <row r="444" spans="1:22" ht="12.75">
      <c r="A444" s="91">
        <f t="shared" si="163"/>
        <v>2024.09999999996</v>
      </c>
      <c r="B444" s="171">
        <f t="shared" si="158"/>
        <v>29.267398373788577</v>
      </c>
      <c r="C444" s="171">
        <f t="shared" si="159"/>
        <v>0.1791584806464523</v>
      </c>
      <c r="D444" s="172">
        <f t="shared" si="160"/>
        <v>0.13731088479572384</v>
      </c>
      <c r="E444" s="171">
        <f t="shared" si="167"/>
        <v>29.583867739230755</v>
      </c>
      <c r="F444" s="171"/>
      <c r="G444" s="171">
        <f t="shared" si="155"/>
        <v>0.08838328406433886</v>
      </c>
      <c r="H444" s="171">
        <f t="shared" si="156"/>
        <v>0.08819622231529346</v>
      </c>
      <c r="I444" s="91">
        <f t="shared" si="164"/>
        <v>0.06442242856672681</v>
      </c>
      <c r="J444" s="91">
        <f t="shared" si="165"/>
        <v>29.745695056150083</v>
      </c>
      <c r="K444" s="172">
        <f t="shared" si="161"/>
        <v>0.05277998387215013</v>
      </c>
      <c r="L444" s="177">
        <f t="shared" si="168"/>
        <v>27.335056554042485</v>
      </c>
      <c r="M444" s="178">
        <f t="shared" si="169"/>
        <v>0.13806199186076945</v>
      </c>
      <c r="N444" s="403">
        <f t="shared" si="157"/>
        <v>0</v>
      </c>
      <c r="O444" s="177">
        <f t="shared" si="162"/>
        <v>0.0024809778273999564</v>
      </c>
      <c r="P444" s="174">
        <f t="shared" si="166"/>
        <v>0.0027335056554042485</v>
      </c>
      <c r="Q444" s="179">
        <f t="shared" si="170"/>
        <v>0.004641410852903381</v>
      </c>
      <c r="R444" s="179">
        <f t="shared" si="171"/>
        <v>0.010697362773242475</v>
      </c>
      <c r="S444" s="180">
        <f t="shared" si="172"/>
        <v>0.43388365443799226</v>
      </c>
      <c r="T444" s="179">
        <f t="shared" si="173"/>
        <v>0.9893026372267575</v>
      </c>
      <c r="U444" s="181">
        <f t="shared" si="174"/>
        <v>0.4641410852903381</v>
      </c>
      <c r="V444">
        <f>IF(ISNUMBER('Set-up'!C499)=FALSE,"",('Set-up'!C499-'EPP model'!U444)^2)</f>
      </c>
    </row>
    <row r="445" spans="1:22" ht="12.75">
      <c r="A445" s="91">
        <f t="shared" si="163"/>
        <v>2024.1999999999598</v>
      </c>
      <c r="B445" s="171">
        <f t="shared" si="158"/>
        <v>29.205829109628873</v>
      </c>
      <c r="C445" s="171">
        <f t="shared" si="159"/>
        <v>0.1793278254565314</v>
      </c>
      <c r="D445" s="172">
        <f t="shared" si="160"/>
        <v>0.1364763231696061</v>
      </c>
      <c r="E445" s="171">
        <f t="shared" si="167"/>
        <v>29.52163325825501</v>
      </c>
      <c r="F445" s="171"/>
      <c r="G445" s="171">
        <f t="shared" si="155"/>
        <v>0.08819735544069977</v>
      </c>
      <c r="H445" s="171">
        <f t="shared" si="156"/>
        <v>0.08801143063398564</v>
      </c>
      <c r="I445" s="91">
        <f t="shared" si="164"/>
        <v>0.06428760074030754</v>
      </c>
      <c r="J445" s="91">
        <f t="shared" si="165"/>
        <v>29.745695056150083</v>
      </c>
      <c r="K445" s="172">
        <f t="shared" si="161"/>
        <v>0.05277067592510681</v>
      </c>
      <c r="L445" s="177">
        <f t="shared" si="168"/>
        <v>27.272272859851462</v>
      </c>
      <c r="M445" s="178">
        <f t="shared" si="169"/>
        <v>0.13751214425958388</v>
      </c>
      <c r="N445" s="403">
        <f t="shared" si="157"/>
        <v>0</v>
      </c>
      <c r="O445" s="177">
        <f t="shared" si="162"/>
        <v>0.002473497669679832</v>
      </c>
      <c r="P445" s="174">
        <f t="shared" si="166"/>
        <v>0.002727227285985146</v>
      </c>
      <c r="Q445" s="179">
        <f t="shared" si="170"/>
        <v>0.004622925905748924</v>
      </c>
      <c r="R445" s="179">
        <f t="shared" si="171"/>
        <v>0.010697380658566054</v>
      </c>
      <c r="S445" s="180">
        <f t="shared" si="172"/>
        <v>0.4321549408496613</v>
      </c>
      <c r="T445" s="179">
        <f t="shared" si="173"/>
        <v>0.9893026193414339</v>
      </c>
      <c r="U445" s="181">
        <f t="shared" si="174"/>
        <v>0.46229259057489236</v>
      </c>
      <c r="V445">
        <f>IF(ISNUMBER('Set-up'!C500)=FALSE,"",('Set-up'!C500-'EPP model'!U445)^2)</f>
      </c>
    </row>
    <row r="446" spans="1:22" ht="12.75">
      <c r="A446" s="91">
        <f t="shared" si="163"/>
        <v>2024.2999999999597</v>
      </c>
      <c r="B446" s="171">
        <f t="shared" si="158"/>
        <v>29.144390598428735</v>
      </c>
      <c r="C446" s="171">
        <f t="shared" si="159"/>
        <v>0.17949631035612118</v>
      </c>
      <c r="D446" s="172">
        <f t="shared" si="160"/>
        <v>0.13564400970235285</v>
      </c>
      <c r="E446" s="171">
        <f t="shared" si="167"/>
        <v>29.45953091848721</v>
      </c>
      <c r="F446" s="171"/>
      <c r="G446" s="171">
        <f t="shared" si="155"/>
        <v>0.08801182159552648</v>
      </c>
      <c r="H446" s="171">
        <f t="shared" si="156"/>
        <v>0.08782703066842554</v>
      </c>
      <c r="I446" s="91">
        <f t="shared" si="164"/>
        <v>0.0641530541607704</v>
      </c>
      <c r="J446" s="91">
        <f t="shared" si="165"/>
        <v>29.745695056150083</v>
      </c>
      <c r="K446" s="172">
        <f t="shared" si="161"/>
        <v>0.05276173649456694</v>
      </c>
      <c r="L446" s="177">
        <f t="shared" si="168"/>
        <v>27.20990037932623</v>
      </c>
      <c r="M446" s="178">
        <f t="shared" si="169"/>
        <v>0.1369616291570893</v>
      </c>
      <c r="N446" s="403">
        <f t="shared" si="157"/>
        <v>0</v>
      </c>
      <c r="O446" s="177">
        <f t="shared" si="162"/>
        <v>0.0024659753803936025</v>
      </c>
      <c r="P446" s="174">
        <f t="shared" si="166"/>
        <v>0.0027209900379326227</v>
      </c>
      <c r="Q446" s="179">
        <f t="shared" si="170"/>
        <v>0.004604418518328477</v>
      </c>
      <c r="R446" s="179">
        <f t="shared" si="171"/>
        <v>0.010697397760013517</v>
      </c>
      <c r="S446" s="180">
        <f t="shared" si="172"/>
        <v>0.43042416685108464</v>
      </c>
      <c r="T446" s="179">
        <f t="shared" si="173"/>
        <v>0.9893026022399865</v>
      </c>
      <c r="U446" s="181">
        <f t="shared" si="174"/>
        <v>0.46044185183284775</v>
      </c>
      <c r="V446">
        <f>IF(ISNUMBER('Set-up'!C501)=FALSE,"",('Set-up'!C501-'EPP model'!U446)^2)</f>
      </c>
    </row>
    <row r="447" spans="1:22" ht="12.75">
      <c r="A447" s="91">
        <f t="shared" si="163"/>
        <v>2024.3999999999596</v>
      </c>
      <c r="B447" s="171">
        <f t="shared" si="158"/>
        <v>29.083082532261585</v>
      </c>
      <c r="C447" s="171">
        <f t="shared" si="159"/>
        <v>0.1796640237545955</v>
      </c>
      <c r="D447" s="172">
        <f t="shared" si="160"/>
        <v>0.13481385148386446</v>
      </c>
      <c r="E447" s="171">
        <f t="shared" si="167"/>
        <v>29.39756040750005</v>
      </c>
      <c r="F447" s="171"/>
      <c r="G447" s="171">
        <f t="shared" si="155"/>
        <v>0.08782668159542678</v>
      </c>
      <c r="H447" s="171">
        <f t="shared" si="156"/>
        <v>0.08764302161179449</v>
      </c>
      <c r="I447" s="91">
        <f t="shared" si="164"/>
        <v>0.06401878919732258</v>
      </c>
      <c r="J447" s="91">
        <f t="shared" si="165"/>
        <v>29.745695056150083</v>
      </c>
      <c r="K447" s="172">
        <f t="shared" si="161"/>
        <v>0.0527531901978265</v>
      </c>
      <c r="L447" s="177">
        <f t="shared" si="168"/>
        <v>27.147950331504706</v>
      </c>
      <c r="M447" s="178">
        <f t="shared" si="169"/>
        <v>0.13641035718600156</v>
      </c>
      <c r="N447" s="403">
        <f t="shared" si="157"/>
        <v>0</v>
      </c>
      <c r="O447" s="177">
        <f t="shared" si="162"/>
        <v>0.0024584107094060875</v>
      </c>
      <c r="P447" s="174">
        <f t="shared" si="166"/>
        <v>0.0027147950331504705</v>
      </c>
      <c r="Q447" s="179">
        <f t="shared" si="170"/>
        <v>0.004585885686264977</v>
      </c>
      <c r="R447" s="179">
        <f t="shared" si="171"/>
        <v>0.010697414032976315</v>
      </c>
      <c r="S447" s="180">
        <f t="shared" si="172"/>
        <v>0.42869105300854254</v>
      </c>
      <c r="T447" s="179">
        <f t="shared" si="173"/>
        <v>0.9893025859670236</v>
      </c>
      <c r="U447" s="181">
        <f t="shared" si="174"/>
        <v>0.45858856862649766</v>
      </c>
      <c r="V447">
        <f>IF(ISNUMBER('Set-up'!C502)=FALSE,"",('Set-up'!C502-'EPP model'!U447)^2)</f>
      </c>
    </row>
    <row r="448" spans="1:22" ht="12.75">
      <c r="A448" s="91">
        <f t="shared" si="163"/>
        <v>2024.4999999999595</v>
      </c>
      <c r="B448" s="171">
        <f t="shared" si="158"/>
        <v>29.021904603490437</v>
      </c>
      <c r="C448" s="171">
        <f t="shared" si="159"/>
        <v>0.17983105524331255</v>
      </c>
      <c r="D448" s="172">
        <f t="shared" si="160"/>
        <v>0.1339857545795703</v>
      </c>
      <c r="E448" s="171">
        <f t="shared" si="167"/>
        <v>29.33572141331332</v>
      </c>
      <c r="F448" s="171"/>
      <c r="G448" s="171">
        <f t="shared" si="155"/>
        <v>0.08764193450834422</v>
      </c>
      <c r="H448" s="171">
        <f t="shared" si="156"/>
        <v>0.08745940266000526</v>
      </c>
      <c r="I448" s="91">
        <f t="shared" si="164"/>
        <v>0.06388480611166648</v>
      </c>
      <c r="J448" s="91">
        <f t="shared" si="165"/>
        <v>29.745695056150083</v>
      </c>
      <c r="K448" s="172">
        <f t="shared" si="161"/>
        <v>0.05274505914270681</v>
      </c>
      <c r="L448" s="177">
        <f t="shared" si="168"/>
        <v>27.086439974300863</v>
      </c>
      <c r="M448" s="178">
        <f t="shared" si="169"/>
        <v>0.1358582371791729</v>
      </c>
      <c r="N448" s="403">
        <f t="shared" si="157"/>
        <v>0</v>
      </c>
      <c r="O448" s="177">
        <f t="shared" si="162"/>
        <v>0.0024508033653838643</v>
      </c>
      <c r="P448" s="174">
        <f t="shared" si="166"/>
        <v>0.002708643997430086</v>
      </c>
      <c r="Q448" s="179">
        <f t="shared" si="170"/>
        <v>0.004567324344672978</v>
      </c>
      <c r="R448" s="179">
        <f t="shared" si="171"/>
        <v>0.01069742943769791</v>
      </c>
      <c r="S448" s="180">
        <f t="shared" si="172"/>
        <v>0.4269553140100793</v>
      </c>
      <c r="T448" s="179">
        <f t="shared" si="173"/>
        <v>0.9893025705623021</v>
      </c>
      <c r="U448" s="181">
        <f t="shared" si="174"/>
        <v>0.4567324344672978</v>
      </c>
      <c r="V448">
        <f>IF(ISNUMBER('Set-up'!C503)=FALSE,"",('Set-up'!C503-'EPP model'!U448)^2)</f>
      </c>
    </row>
    <row r="449" spans="1:22" ht="12.75">
      <c r="A449" s="91">
        <f t="shared" si="163"/>
        <v>2024.5999999999594</v>
      </c>
      <c r="B449" s="171">
        <f t="shared" si="158"/>
        <v>28.96085650509542</v>
      </c>
      <c r="C449" s="171">
        <f t="shared" si="159"/>
        <v>0.17999749547524113</v>
      </c>
      <c r="D449" s="172">
        <f t="shared" si="160"/>
        <v>0.133159623389377</v>
      </c>
      <c r="E449" s="171">
        <f t="shared" si="167"/>
        <v>29.27401362396004</v>
      </c>
      <c r="F449" s="171"/>
      <c r="G449" s="171">
        <f t="shared" si="155"/>
        <v>0.08745757940226184</v>
      </c>
      <c r="H449" s="171">
        <f t="shared" si="156"/>
        <v>0.08727617301127907</v>
      </c>
      <c r="I449" s="91">
        <f t="shared" si="164"/>
        <v>0.06375110533737385</v>
      </c>
      <c r="J449" s="91">
        <f t="shared" si="165"/>
        <v>29.745695056150083</v>
      </c>
      <c r="K449" s="172">
        <f t="shared" si="161"/>
        <v>0.05273736300921673</v>
      </c>
      <c r="L449" s="177">
        <f t="shared" si="168"/>
        <v>27.025362137965</v>
      </c>
      <c r="M449" s="178">
        <f t="shared" si="169"/>
        <v>0.13530517550522286</v>
      </c>
      <c r="N449" s="403">
        <f t="shared" si="157"/>
        <v>0</v>
      </c>
      <c r="O449" s="177">
        <f t="shared" si="162"/>
        <v>0.0024431530155426904</v>
      </c>
      <c r="P449" s="174">
        <f t="shared" si="166"/>
        <v>0.0027025362137965</v>
      </c>
      <c r="Q449" s="179">
        <f t="shared" si="170"/>
        <v>0.004548731345823697</v>
      </c>
      <c r="R449" s="179">
        <f t="shared" si="171"/>
        <v>0.010697443913475088</v>
      </c>
      <c r="S449" s="180">
        <f t="shared" si="172"/>
        <v>0.4252166576067639</v>
      </c>
      <c r="T449" s="179">
        <f t="shared" si="173"/>
        <v>0.9893025560865248</v>
      </c>
      <c r="U449" s="181">
        <f t="shared" si="174"/>
        <v>0.4548731345823697</v>
      </c>
      <c r="V449">
        <f>IF(ISNUMBER('Set-up'!C504)=FALSE,"",('Set-up'!C504-'EPP model'!U449)^2)</f>
      </c>
    </row>
    <row r="450" spans="1:22" ht="12.75">
      <c r="A450" s="91">
        <f t="shared" si="163"/>
        <v>2024.6999999999593</v>
      </c>
      <c r="B450" s="171">
        <f t="shared" si="158"/>
        <v>28.899937929916376</v>
      </c>
      <c r="C450" s="171">
        <f t="shared" si="159"/>
        <v>0.18016343686624078</v>
      </c>
      <c r="D450" s="172">
        <f t="shared" si="160"/>
        <v>0.13233536304188354</v>
      </c>
      <c r="E450" s="171">
        <f t="shared" si="167"/>
        <v>29.2124367298245</v>
      </c>
      <c r="F450" s="171"/>
      <c r="G450" s="171">
        <f t="shared" si="155"/>
        <v>0.0872736153521872</v>
      </c>
      <c r="H450" s="171">
        <f t="shared" si="156"/>
        <v>0.08709333186986896</v>
      </c>
      <c r="I450" s="91">
        <f t="shared" si="164"/>
        <v>0.0636176872033945</v>
      </c>
      <c r="J450" s="91">
        <f t="shared" si="165"/>
        <v>29.745695056150083</v>
      </c>
      <c r="K450" s="172">
        <f t="shared" si="161"/>
        <v>0.05273013193879065</v>
      </c>
      <c r="L450" s="177">
        <f t="shared" si="168"/>
        <v>26.96472476096087</v>
      </c>
      <c r="M450" s="178">
        <f t="shared" si="169"/>
        <v>0.134751078473707</v>
      </c>
      <c r="N450" s="403">
        <f t="shared" si="157"/>
        <v>0</v>
      </c>
      <c r="O450" s="177">
        <f t="shared" si="162"/>
        <v>0.0024354592715778063</v>
      </c>
      <c r="P450" s="174">
        <f t="shared" si="166"/>
        <v>0.002696472476096087</v>
      </c>
      <c r="Q450" s="179">
        <f t="shared" si="170"/>
        <v>0.004530103540002723</v>
      </c>
      <c r="R450" s="179">
        <f t="shared" si="171"/>
        <v>0.010697457483547685</v>
      </c>
      <c r="S450" s="180">
        <f t="shared" si="172"/>
        <v>0.42347478800171573</v>
      </c>
      <c r="T450" s="179">
        <f t="shared" si="173"/>
        <v>0.9893025425164523</v>
      </c>
      <c r="U450" s="181">
        <f t="shared" si="174"/>
        <v>0.4530103540002723</v>
      </c>
      <c r="V450">
        <f>IF(ISNUMBER('Set-up'!C505)=FALSE,"",('Set-up'!C505-'EPP model'!U450)^2)</f>
      </c>
    </row>
    <row r="451" spans="1:22" ht="12.75">
      <c r="A451" s="91">
        <f t="shared" si="163"/>
        <v>2024.7999999999593</v>
      </c>
      <c r="B451" s="171">
        <f t="shared" si="158"/>
        <v>28.839148573317626</v>
      </c>
      <c r="C451" s="171">
        <f t="shared" si="159"/>
        <v>0.1803289709130899</v>
      </c>
      <c r="D451" s="172">
        <f t="shared" si="160"/>
        <v>0.13151287787725177</v>
      </c>
      <c r="E451" s="171">
        <f t="shared" si="167"/>
        <v>29.15099042210797</v>
      </c>
      <c r="F451" s="171"/>
      <c r="G451" s="171">
        <f aca="true" t="shared" si="175" ref="G451:G503">E451*b*Solution_interval</f>
        <v>0.08709004143556869</v>
      </c>
      <c r="H451" s="171">
        <f aca="true" t="shared" si="176" ref="H451:H503">b*(B451+C451+(1-v)*e*D451)*Solution_interval</f>
        <v>0.08691087844354288</v>
      </c>
      <c r="I451" s="91">
        <f t="shared" si="164"/>
        <v>0.06348455202500303</v>
      </c>
      <c r="J451" s="91">
        <f t="shared" si="165"/>
        <v>29.745695056150083</v>
      </c>
      <c r="K451" s="172">
        <f t="shared" si="161"/>
        <v>0.052723354144402275</v>
      </c>
      <c r="L451" s="177">
        <f t="shared" si="168"/>
        <v>26.90453740868323</v>
      </c>
      <c r="M451" s="178">
        <f t="shared" si="169"/>
        <v>0.1341958507978048</v>
      </c>
      <c r="N451" s="403">
        <f aca="true" t="shared" si="177" ref="N451:N503">IF(ROUND(A451,1)=t0,0.01,0)</f>
        <v>0</v>
      </c>
      <c r="O451" s="177">
        <f t="shared" si="162"/>
        <v>0.0024277217419255565</v>
      </c>
      <c r="P451" s="174">
        <f t="shared" si="166"/>
        <v>0.002690453740868323</v>
      </c>
      <c r="Q451" s="179">
        <f t="shared" si="170"/>
        <v>0.004511437723828177</v>
      </c>
      <c r="R451" s="179">
        <f t="shared" si="171"/>
        <v>0.01069747011250233</v>
      </c>
      <c r="S451" s="180">
        <f t="shared" si="172"/>
        <v>0.4217294067085616</v>
      </c>
      <c r="T451" s="179">
        <f t="shared" si="173"/>
        <v>0.9893025298874976</v>
      </c>
      <c r="U451" s="181">
        <f t="shared" si="174"/>
        <v>0.4511437723828177</v>
      </c>
      <c r="V451">
        <f>IF(ISNUMBER('Set-up'!C506)=FALSE,"",('Set-up'!C506-'EPP model'!U451)^2)</f>
      </c>
    </row>
    <row r="452" spans="1:22" ht="12.75">
      <c r="A452" s="91">
        <f t="shared" si="163"/>
        <v>2024.8999999999592</v>
      </c>
      <c r="B452" s="171">
        <f aca="true" t="shared" si="178" ref="B452:B503">MAX(0,B451+(1-K452)*I452-B451*mu*Solution_interval)</f>
        <v>28.77848813130258</v>
      </c>
      <c r="C452" s="171">
        <f aca="true" t="shared" si="179" ref="C452:C503">MAX(0,C451+K452*I452-(mu+M451+N451)*C451*Solution_interval)</f>
        <v>0.18049419012789095</v>
      </c>
      <c r="D452" s="172">
        <f aca="true" t="shared" si="180" ref="D452:D503">MAX(0,D451-P451+((M451+N451)*C451-mu*D451)*Solution_interval)</f>
        <v>0.13069207122030768</v>
      </c>
      <c r="E452" s="171">
        <f t="shared" si="167"/>
        <v>29.089674392650778</v>
      </c>
      <c r="F452" s="171"/>
      <c r="G452" s="171">
        <f t="shared" si="175"/>
        <v>0.08690685673176385</v>
      </c>
      <c r="H452" s="171">
        <f t="shared" si="176"/>
        <v>0.0867288119433612</v>
      </c>
      <c r="I452" s="91">
        <f t="shared" si="164"/>
        <v>0.06335170010569911</v>
      </c>
      <c r="J452" s="91">
        <f t="shared" si="165"/>
        <v>29.745695056150083</v>
      </c>
      <c r="K452" s="172">
        <f aca="true" t="shared" si="181" ref="K452:K503">EXP(phi*((B451/E451)-(1-fo)))/(EXP(phi*((B451/E451)-(1-fo)))+1/fo-1)</f>
        <v>0.05271704714575347</v>
      </c>
      <c r="L452" s="177">
        <f t="shared" si="168"/>
        <v>26.844803749954135</v>
      </c>
      <c r="M452" s="178">
        <f t="shared" si="169"/>
        <v>0.1336393953504707</v>
      </c>
      <c r="N452" s="403">
        <f t="shared" si="177"/>
        <v>0</v>
      </c>
      <c r="O452" s="177">
        <f aca="true" t="shared" si="182" ref="O452:O503">(M451+N451)*C451*Solution_interval</f>
        <v>0.002419939967517469</v>
      </c>
      <c r="P452" s="174">
        <f t="shared" si="166"/>
        <v>0.0026844803749954136</v>
      </c>
      <c r="Q452" s="179">
        <f t="shared" si="170"/>
        <v>0.004492730632052923</v>
      </c>
      <c r="R452" s="179">
        <f t="shared" si="171"/>
        <v>0.010697481764416613</v>
      </c>
      <c r="S452" s="180">
        <f t="shared" si="172"/>
        <v>0.4199802094542701</v>
      </c>
      <c r="T452" s="179">
        <f t="shared" si="173"/>
        <v>0.9893025182355835</v>
      </c>
      <c r="U452" s="181">
        <f t="shared" si="174"/>
        <v>0.4492730632052923</v>
      </c>
      <c r="V452">
        <f>IF(ISNUMBER('Set-up'!C507)=FALSE,"",('Set-up'!C507-'EPP model'!U452)^2)</f>
      </c>
    </row>
    <row r="453" spans="1:22" ht="12.75">
      <c r="A453" s="91">
        <f aca="true" t="shared" si="183" ref="A453:A503">0.1+A452</f>
        <v>2024.999999999959</v>
      </c>
      <c r="B453" s="171">
        <f t="shared" si="178"/>
        <v>28.717956300492677</v>
      </c>
      <c r="C453" s="171">
        <f t="shared" si="179"/>
        <v>0.18065918808701933</v>
      </c>
      <c r="D453" s="172">
        <f t="shared" si="180"/>
        <v>0.12987284592845844</v>
      </c>
      <c r="E453" s="171">
        <f t="shared" si="167"/>
        <v>29.028488334508154</v>
      </c>
      <c r="F453" s="171"/>
      <c r="G453" s="171">
        <f t="shared" si="175"/>
        <v>0.08672406032375984</v>
      </c>
      <c r="H453" s="171">
        <f t="shared" si="176"/>
        <v>0.08654713158465062</v>
      </c>
      <c r="I453" s="91">
        <f t="shared" si="164"/>
        <v>0.06321913173780078</v>
      </c>
      <c r="J453" s="91">
        <f t="shared" si="165"/>
        <v>29.745695056150083</v>
      </c>
      <c r="K453" s="172">
        <f t="shared" si="181"/>
        <v>0.052711228720786416</v>
      </c>
      <c r="L453" s="177">
        <f t="shared" si="168"/>
        <v>26.78552541021171</v>
      </c>
      <c r="M453" s="178">
        <f t="shared" si="169"/>
        <v>0.13308161370807198</v>
      </c>
      <c r="N453" s="403">
        <f t="shared" si="177"/>
        <v>0</v>
      </c>
      <c r="O453" s="177">
        <f t="shared" si="182"/>
        <v>0.0024121134432964243</v>
      </c>
      <c r="P453" s="174">
        <f t="shared" si="166"/>
        <v>0.0026785525410211713</v>
      </c>
      <c r="Q453" s="179">
        <f t="shared" si="170"/>
        <v>0.004473978955840759</v>
      </c>
      <c r="R453" s="179">
        <f t="shared" si="171"/>
        <v>0.010697492423204382</v>
      </c>
      <c r="S453" s="180">
        <f t="shared" si="172"/>
        <v>0.41822688709141426</v>
      </c>
      <c r="T453" s="179">
        <f t="shared" si="173"/>
        <v>0.9893025075767956</v>
      </c>
      <c r="U453" s="181">
        <f t="shared" si="174"/>
        <v>0.4473978955840759</v>
      </c>
      <c r="V453">
        <f>IF(ISNUMBER('Set-up'!$N$52)=FALSE,"",('Set-up'!$N$52-'EPP model'!U453)^2)</f>
      </c>
    </row>
    <row r="454" spans="1:22" ht="12.75">
      <c r="A454" s="91">
        <f t="shared" si="183"/>
        <v>2025.099999999959</v>
      </c>
      <c r="B454" s="171">
        <f t="shared" si="178"/>
        <v>28.65755277774452</v>
      </c>
      <c r="C454" s="171">
        <f t="shared" si="179"/>
        <v>0.1808240587731785</v>
      </c>
      <c r="D454" s="172">
        <f t="shared" si="180"/>
        <v>0.1290551045619624</v>
      </c>
      <c r="E454" s="171">
        <f t="shared" si="167"/>
        <v>28.967431941079663</v>
      </c>
      <c r="F454" s="171"/>
      <c r="G454" s="171">
        <f t="shared" si="175"/>
        <v>0.08654165129557256</v>
      </c>
      <c r="H454" s="171">
        <f t="shared" si="176"/>
        <v>0.08636583658417141</v>
      </c>
      <c r="I454" s="91">
        <f t="shared" si="164"/>
        <v>0.06308684614385365</v>
      </c>
      <c r="J454" s="91">
        <f t="shared" si="165"/>
        <v>29.745695056150083</v>
      </c>
      <c r="K454" s="172">
        <f t="shared" si="181"/>
        <v>0.05270590674808589</v>
      </c>
      <c r="L454" s="177">
        <f t="shared" si="168"/>
        <v>26.72670260762306</v>
      </c>
      <c r="M454" s="178">
        <f t="shared" si="169"/>
        <v>0.13252240631989615</v>
      </c>
      <c r="N454" s="403">
        <f t="shared" si="177"/>
        <v>0</v>
      </c>
      <c r="O454" s="177">
        <f t="shared" si="182"/>
        <v>0.002404241628181063</v>
      </c>
      <c r="P454" s="174">
        <f t="shared" si="166"/>
        <v>0.002672670260762306</v>
      </c>
      <c r="Q454" s="179">
        <f t="shared" si="170"/>
        <v>0.004455179348464961</v>
      </c>
      <c r="R454" s="179">
        <f t="shared" si="171"/>
        <v>0.010697502076312504</v>
      </c>
      <c r="S454" s="180">
        <f t="shared" si="172"/>
        <v>0.4164691267814821</v>
      </c>
      <c r="T454" s="179">
        <f t="shared" si="173"/>
        <v>0.9893024979236874</v>
      </c>
      <c r="U454" s="181">
        <f t="shared" si="174"/>
        <v>0.4455179348464961</v>
      </c>
      <c r="V454">
        <f>IF(ISNUMBER('Set-up'!C509)=FALSE,"",('Set-up'!C509-'EPP model'!U454)^2)</f>
      </c>
    </row>
    <row r="455" spans="1:22" ht="12.75">
      <c r="A455" s="91">
        <f t="shared" si="183"/>
        <v>2025.199999999959</v>
      </c>
      <c r="B455" s="171">
        <f t="shared" si="178"/>
        <v>28.597277259870708</v>
      </c>
      <c r="C455" s="171">
        <f t="shared" si="179"/>
        <v>0.1809888964803756</v>
      </c>
      <c r="D455" s="172">
        <f t="shared" si="180"/>
        <v>0.12823874948372477</v>
      </c>
      <c r="E455" s="171">
        <f t="shared" si="167"/>
        <v>28.906504905834808</v>
      </c>
      <c r="F455" s="171"/>
      <c r="G455" s="171">
        <f t="shared" si="175"/>
        <v>0.08635962873142679</v>
      </c>
      <c r="H455" s="171">
        <f t="shared" si="176"/>
        <v>0.08618492615916162</v>
      </c>
      <c r="I455" s="91">
        <f t="shared" si="164"/>
        <v>0.06295484213268825</v>
      </c>
      <c r="J455" s="91">
        <f t="shared" si="165"/>
        <v>29.745695056150083</v>
      </c>
      <c r="K455" s="172">
        <f t="shared" si="181"/>
        <v>0.05270108735288298</v>
      </c>
      <c r="L455" s="177">
        <f t="shared" si="168"/>
        <v>26.66833412709787</v>
      </c>
      <c r="M455" s="178">
        <f t="shared" si="169"/>
        <v>0.1319616726045261</v>
      </c>
      <c r="N455" s="403">
        <f t="shared" si="177"/>
        <v>0</v>
      </c>
      <c r="O455" s="177">
        <f t="shared" si="182"/>
        <v>0.0023963239389151944</v>
      </c>
      <c r="P455" s="174">
        <f t="shared" si="166"/>
        <v>0.0026668334127097873</v>
      </c>
      <c r="Q455" s="179">
        <f t="shared" si="170"/>
        <v>0.004436328428548263</v>
      </c>
      <c r="R455" s="179">
        <f t="shared" si="171"/>
        <v>0.010697510715025338</v>
      </c>
      <c r="S455" s="180">
        <f t="shared" si="172"/>
        <v>0.41470661228851635</v>
      </c>
      <c r="T455" s="179">
        <f t="shared" si="173"/>
        <v>0.9893024892849747</v>
      </c>
      <c r="U455" s="181">
        <f t="shared" si="174"/>
        <v>0.4436328428548263</v>
      </c>
      <c r="V455">
        <f>IF(ISNUMBER('Set-up'!C510)=FALSE,"",('Set-up'!C510-'EPP model'!U455)^2)</f>
      </c>
    </row>
    <row r="456" spans="1:22" ht="12.75">
      <c r="A456" s="91">
        <f t="shared" si="183"/>
        <v>2025.2999999999588</v>
      </c>
      <c r="B456" s="171">
        <f t="shared" si="178"/>
        <v>28.537129443939623</v>
      </c>
      <c r="C456" s="171">
        <f t="shared" si="179"/>
        <v>0.18115379574249638</v>
      </c>
      <c r="D456" s="172">
        <f t="shared" si="180"/>
        <v>0.12742368296144632</v>
      </c>
      <c r="E456" s="171">
        <f t="shared" si="167"/>
        <v>28.845706922643565</v>
      </c>
      <c r="F456" s="171"/>
      <c r="G456" s="171">
        <f t="shared" si="175"/>
        <v>0.0861779917167438</v>
      </c>
      <c r="H456" s="171">
        <f t="shared" si="176"/>
        <v>0.08600439952818545</v>
      </c>
      <c r="I456" s="91">
        <f t="shared" si="164"/>
        <v>0.06282311870064144</v>
      </c>
      <c r="J456" s="91">
        <f t="shared" si="165"/>
        <v>29.745695056150083</v>
      </c>
      <c r="K456" s="172">
        <f t="shared" si="181"/>
        <v>0.05269677475598404</v>
      </c>
      <c r="L456" s="177">
        <f t="shared" si="168"/>
        <v>26.610417443863707</v>
      </c>
      <c r="M456" s="178">
        <f t="shared" si="169"/>
        <v>0.1313993110471278</v>
      </c>
      <c r="N456" s="403">
        <f t="shared" si="177"/>
        <v>0</v>
      </c>
      <c r="O456" s="177">
        <f t="shared" si="182"/>
        <v>0.0023883597502397796</v>
      </c>
      <c r="P456" s="174">
        <f t="shared" si="166"/>
        <v>0.0026610417443863705</v>
      </c>
      <c r="Q456" s="179">
        <f t="shared" si="170"/>
        <v>0.0044174227833334925</v>
      </c>
      <c r="R456" s="179">
        <f t="shared" si="171"/>
        <v>0.010697518335448134</v>
      </c>
      <c r="S456" s="180">
        <f t="shared" si="172"/>
        <v>0.4129390242497248</v>
      </c>
      <c r="T456" s="179">
        <f t="shared" si="173"/>
        <v>0.9893024816645519</v>
      </c>
      <c r="U456" s="181">
        <f t="shared" si="174"/>
        <v>0.4417422783333492</v>
      </c>
      <c r="V456">
        <f>IF(ISNUMBER('Set-up'!C511)=FALSE,"",('Set-up'!C511-'EPP model'!U456)^2)</f>
      </c>
    </row>
    <row r="457" spans="1:22" ht="12.75">
      <c r="A457" s="91">
        <f t="shared" si="183"/>
        <v>2025.3999999999587</v>
      </c>
      <c r="B457" s="171">
        <f t="shared" si="178"/>
        <v>28.477109027457153</v>
      </c>
      <c r="C457" s="171">
        <f t="shared" si="179"/>
        <v>0.18131885122407346</v>
      </c>
      <c r="D457" s="172">
        <f t="shared" si="180"/>
        <v>0.12660980725750773</v>
      </c>
      <c r="E457" s="171">
        <f t="shared" si="167"/>
        <v>28.785037685938736</v>
      </c>
      <c r="F457" s="171"/>
      <c r="G457" s="171">
        <f t="shared" si="175"/>
        <v>0.08599673933862628</v>
      </c>
      <c r="H457" s="171">
        <f t="shared" si="176"/>
        <v>0.08582425591149577</v>
      </c>
      <c r="I457" s="91">
        <f t="shared" si="164"/>
        <v>0.06269167487711198</v>
      </c>
      <c r="J457" s="91">
        <f t="shared" si="165"/>
        <v>29.745695056150083</v>
      </c>
      <c r="K457" s="172">
        <f t="shared" si="181"/>
        <v>0.05269297078397877</v>
      </c>
      <c r="L457" s="177">
        <f t="shared" si="168"/>
        <v>26.552948795397022</v>
      </c>
      <c r="M457" s="178">
        <f t="shared" si="169"/>
        <v>0.1308352192861457</v>
      </c>
      <c r="N457" s="403">
        <f t="shared" si="177"/>
        <v>0</v>
      </c>
      <c r="O457" s="177">
        <f t="shared" si="182"/>
        <v>0.0023803483954136138</v>
      </c>
      <c r="P457" s="174">
        <f t="shared" si="166"/>
        <v>0.0026552948795397022</v>
      </c>
      <c r="Q457" s="179">
        <f t="shared" si="170"/>
        <v>0.004398458971598138</v>
      </c>
      <c r="R457" s="179">
        <f t="shared" si="171"/>
        <v>0.010697524937825664</v>
      </c>
      <c r="S457" s="180">
        <f t="shared" si="172"/>
        <v>0.4111660404777846</v>
      </c>
      <c r="T457" s="179">
        <f t="shared" si="173"/>
        <v>0.9893024750621743</v>
      </c>
      <c r="U457" s="181">
        <f t="shared" si="174"/>
        <v>0.4398458971598138</v>
      </c>
      <c r="V457">
        <f>IF(ISNUMBER('Set-up'!C512)=FALSE,"",('Set-up'!C512-'EPP model'!U457)^2)</f>
      </c>
    </row>
    <row r="458" spans="1:22" ht="12.75">
      <c r="A458" s="91">
        <f t="shared" si="183"/>
        <v>2025.4999999999586</v>
      </c>
      <c r="B458" s="171">
        <f t="shared" si="178"/>
        <v>28.417215708497398</v>
      </c>
      <c r="C458" s="171">
        <f t="shared" si="179"/>
        <v>0.1814841576330811</v>
      </c>
      <c r="D458" s="172">
        <f t="shared" si="180"/>
        <v>0.12579702471113285</v>
      </c>
      <c r="E458" s="171">
        <f t="shared" si="167"/>
        <v>28.724496890841614</v>
      </c>
      <c r="F458" s="171"/>
      <c r="G458" s="171">
        <f t="shared" si="175"/>
        <v>0.08581587068623388</v>
      </c>
      <c r="H458" s="171">
        <f t="shared" si="176"/>
        <v>0.08564449453129774</v>
      </c>
      <c r="I458" s="91">
        <f t="shared" si="164"/>
        <v>0.0625605096957591</v>
      </c>
      <c r="J458" s="91">
        <f t="shared" si="165"/>
        <v>29.745695056150083</v>
      </c>
      <c r="K458" s="172">
        <f t="shared" si="181"/>
        <v>0.05268967521064619</v>
      </c>
      <c r="L458" s="177">
        <f t="shared" si="168"/>
        <v>26.495923222904644</v>
      </c>
      <c r="M458" s="178">
        <f t="shared" si="169"/>
        <v>0.13026929419332636</v>
      </c>
      <c r="N458" s="403">
        <f t="shared" si="177"/>
        <v>0</v>
      </c>
      <c r="O458" s="177">
        <f t="shared" si="182"/>
        <v>0.002372289166061368</v>
      </c>
      <c r="P458" s="174">
        <f t="shared" si="166"/>
        <v>0.0026495923222904644</v>
      </c>
      <c r="Q458" s="179">
        <f t="shared" si="170"/>
        <v>0.004379433526344595</v>
      </c>
      <c r="R458" s="179">
        <f t="shared" si="171"/>
        <v>0.010697530526363583</v>
      </c>
      <c r="S458" s="180">
        <f t="shared" si="172"/>
        <v>0.4093873362222878</v>
      </c>
      <c r="T458" s="179">
        <f t="shared" si="173"/>
        <v>0.9893024694736363</v>
      </c>
      <c r="U458" s="181">
        <f t="shared" si="174"/>
        <v>0.4379433526344595</v>
      </c>
      <c r="V458">
        <f>IF(ISNUMBER('Set-up'!C513)=FALSE,"",('Set-up'!C513-'EPP model'!U458)^2)</f>
      </c>
    </row>
    <row r="459" spans="1:22" ht="12.75">
      <c r="A459" s="91">
        <f t="shared" si="183"/>
        <v>2025.5999999999585</v>
      </c>
      <c r="B459" s="171">
        <f t="shared" si="178"/>
        <v>28.357449185761055</v>
      </c>
      <c r="C459" s="171">
        <f t="shared" si="179"/>
        <v>0.18164980963741167</v>
      </c>
      <c r="D459" s="172">
        <f t="shared" si="180"/>
        <v>0.12498523781609965</v>
      </c>
      <c r="E459" s="171">
        <f t="shared" si="167"/>
        <v>28.664084233214567</v>
      </c>
      <c r="F459" s="171"/>
      <c r="G459" s="171">
        <f t="shared" si="175"/>
        <v>0.08563538485094019</v>
      </c>
      <c r="H459" s="171">
        <f t="shared" si="176"/>
        <v>0.0854651146117999</v>
      </c>
      <c r="I459" s="91">
        <f t="shared" si="164"/>
        <v>0.062429622126049744</v>
      </c>
      <c r="J459" s="91">
        <f t="shared" si="165"/>
        <v>29.745695056150083</v>
      </c>
      <c r="K459" s="172">
        <f t="shared" si="181"/>
        <v>0.05268688584696828</v>
      </c>
      <c r="L459" s="177">
        <f t="shared" si="168"/>
        <v>26.439337371819523</v>
      </c>
      <c r="M459" s="178">
        <f t="shared" si="169"/>
        <v>0.12970143195051462</v>
      </c>
      <c r="N459" s="403">
        <f t="shared" si="177"/>
        <v>0</v>
      </c>
      <c r="O459" s="177">
        <f t="shared" si="182"/>
        <v>0.0023641813122131858</v>
      </c>
      <c r="P459" s="174">
        <f t="shared" si="166"/>
        <v>0.0026439337371819524</v>
      </c>
      <c r="Q459" s="179">
        <f t="shared" si="170"/>
        <v>0.004360342957381933</v>
      </c>
      <c r="R459" s="179">
        <f t="shared" si="171"/>
        <v>0.010697535109047626</v>
      </c>
      <c r="S459" s="180">
        <f t="shared" si="172"/>
        <v>0.40760258442097536</v>
      </c>
      <c r="T459" s="179">
        <f t="shared" si="173"/>
        <v>0.9893024648909524</v>
      </c>
      <c r="U459" s="181">
        <f t="shared" si="174"/>
        <v>0.4360342957381933</v>
      </c>
      <c r="V459">
        <f>IF(ISNUMBER('Set-up'!C514)=FALSE,"",('Set-up'!C514-'EPP model'!U459)^2)</f>
      </c>
    </row>
    <row r="460" spans="1:22" ht="12.75">
      <c r="A460" s="91">
        <f t="shared" si="183"/>
        <v>2025.6999999999584</v>
      </c>
      <c r="B460" s="171">
        <f t="shared" si="178"/>
        <v>28.297809158825125</v>
      </c>
      <c r="C460" s="171">
        <f t="shared" si="179"/>
        <v>0.18181590179960286</v>
      </c>
      <c r="D460" s="172">
        <f t="shared" si="180"/>
        <v>0.12417434901812265</v>
      </c>
      <c r="E460" s="171">
        <f t="shared" si="167"/>
        <v>28.60379940964285</v>
      </c>
      <c r="F460" s="171"/>
      <c r="G460" s="171">
        <f t="shared" si="175"/>
        <v>0.0854552809262785</v>
      </c>
      <c r="H460" s="171">
        <f t="shared" si="176"/>
        <v>0.08528611537943596</v>
      </c>
      <c r="I460" s="91">
        <f t="shared" si="164"/>
        <v>0.06229901128281318</v>
      </c>
      <c r="J460" s="91">
        <f t="shared" si="165"/>
        <v>29.745695056150083</v>
      </c>
      <c r="K460" s="172">
        <f t="shared" si="181"/>
        <v>0.05268459863150582</v>
      </c>
      <c r="L460" s="177">
        <f t="shared" si="168"/>
        <v>26.3831780680341</v>
      </c>
      <c r="M460" s="178">
        <f t="shared" si="169"/>
        <v>0.12913152783625764</v>
      </c>
      <c r="N460" s="403">
        <f t="shared" si="177"/>
        <v>0</v>
      </c>
      <c r="O460" s="177">
        <f t="shared" si="182"/>
        <v>0.002356024042351069</v>
      </c>
      <c r="P460" s="174">
        <f t="shared" si="166"/>
        <v>0.00263831780680341</v>
      </c>
      <c r="Q460" s="179">
        <f t="shared" si="170"/>
        <v>0.004341183744151878</v>
      </c>
      <c r="R460" s="179">
        <f t="shared" si="171"/>
        <v>0.010697538688324418</v>
      </c>
      <c r="S460" s="180">
        <f t="shared" si="172"/>
        <v>0.40581145538552377</v>
      </c>
      <c r="T460" s="179">
        <f t="shared" si="173"/>
        <v>0.9893024613116755</v>
      </c>
      <c r="U460" s="181">
        <f t="shared" si="174"/>
        <v>0.43411837441518786</v>
      </c>
      <c r="V460">
        <f>IF(ISNUMBER('Set-up'!C515)=FALSE,"",('Set-up'!C515-'EPP model'!U460)^2)</f>
      </c>
    </row>
    <row r="461" spans="1:22" ht="12.75">
      <c r="A461" s="91">
        <f t="shared" si="183"/>
        <v>2025.7999999999583</v>
      </c>
      <c r="B461" s="171">
        <f t="shared" si="178"/>
        <v>28.238295327905444</v>
      </c>
      <c r="C461" s="171">
        <f t="shared" si="179"/>
        <v>0.1819825287962708</v>
      </c>
      <c r="D461" s="172">
        <f t="shared" si="180"/>
        <v>0.12336426165048217</v>
      </c>
      <c r="E461" s="171">
        <f t="shared" si="167"/>
        <v>28.5436421183522</v>
      </c>
      <c r="F461" s="171"/>
      <c r="G461" s="171">
        <f t="shared" si="175"/>
        <v>0.08527555801068312</v>
      </c>
      <c r="H461" s="171">
        <f t="shared" si="176"/>
        <v>0.0851074960643315</v>
      </c>
      <c r="I461" s="91">
        <f t="shared" si="164"/>
        <v>0.06216867621952381</v>
      </c>
      <c r="J461" s="91">
        <f t="shared" si="165"/>
        <v>29.745695056150083</v>
      </c>
      <c r="K461" s="172">
        <f t="shared" si="181"/>
        <v>0.052682812281255854</v>
      </c>
      <c r="L461" s="177">
        <f t="shared" si="168"/>
        <v>26.32743658827345</v>
      </c>
      <c r="M461" s="178">
        <f t="shared" si="169"/>
        <v>0.1285594771917002</v>
      </c>
      <c r="N461" s="403">
        <f t="shared" si="177"/>
        <v>0</v>
      </c>
      <c r="O461" s="177">
        <f t="shared" si="182"/>
        <v>0.0023478165184309704</v>
      </c>
      <c r="P461" s="174">
        <f t="shared" si="166"/>
        <v>0.002632743658827345</v>
      </c>
      <c r="Q461" s="179">
        <f t="shared" si="170"/>
        <v>0.0043219523682005824</v>
      </c>
      <c r="R461" s="179">
        <f t="shared" si="171"/>
        <v>0.01069754130116526</v>
      </c>
      <c r="S461" s="180">
        <f t="shared" si="172"/>
        <v>0.4040136183189871</v>
      </c>
      <c r="T461" s="179">
        <f t="shared" si="173"/>
        <v>0.9893024586988347</v>
      </c>
      <c r="U461" s="181">
        <f t="shared" si="174"/>
        <v>0.4321952368200582</v>
      </c>
      <c r="V461">
        <f>IF(ISNUMBER('Set-up'!C516)=FALSE,"",('Set-up'!C516-'EPP model'!U461)^2)</f>
      </c>
    </row>
    <row r="462" spans="1:22" ht="12.75">
      <c r="A462" s="91">
        <f t="shared" si="183"/>
        <v>2025.8999999999583</v>
      </c>
      <c r="B462" s="171">
        <f t="shared" si="178"/>
        <v>28.178907394925886</v>
      </c>
      <c r="C462" s="171">
        <f t="shared" si="179"/>
        <v>0.1821497843777862</v>
      </c>
      <c r="D462" s="172">
        <f t="shared" si="180"/>
        <v>0.1225548794588255</v>
      </c>
      <c r="E462" s="171">
        <f t="shared" si="167"/>
        <v>28.483612058762496</v>
      </c>
      <c r="F462" s="171"/>
      <c r="G462" s="171">
        <f t="shared" si="175"/>
        <v>0.0850962152061559</v>
      </c>
      <c r="H462" s="171">
        <f t="shared" si="176"/>
        <v>0.0849292558996179</v>
      </c>
      <c r="I462" s="91">
        <f t="shared" si="164"/>
        <v>0.06203861599529256</v>
      </c>
      <c r="J462" s="91">
        <f t="shared" si="165"/>
        <v>29.745695056150083</v>
      </c>
      <c r="K462" s="172">
        <f t="shared" si="181"/>
        <v>0.052681508297306466</v>
      </c>
      <c r="L462" s="177">
        <f t="shared" si="168"/>
        <v>26.27210759116654</v>
      </c>
      <c r="M462" s="178">
        <f t="shared" si="169"/>
        <v>0.1279851749316318</v>
      </c>
      <c r="N462" s="403">
        <f t="shared" si="177"/>
        <v>0</v>
      </c>
      <c r="O462" s="177">
        <f t="shared" si="182"/>
        <v>0.00233955787600721</v>
      </c>
      <c r="P462" s="174">
        <f t="shared" si="166"/>
        <v>0.002627210759116654</v>
      </c>
      <c r="Q462" s="179">
        <f t="shared" si="170"/>
        <v>0.004302645296740853</v>
      </c>
      <c r="R462" s="179">
        <f t="shared" si="171"/>
        <v>0.010697542966390547</v>
      </c>
      <c r="S462" s="180">
        <f t="shared" si="172"/>
        <v>0.4022087417885461</v>
      </c>
      <c r="T462" s="179">
        <f t="shared" si="173"/>
        <v>0.9893024570336095</v>
      </c>
      <c r="U462" s="181">
        <f t="shared" si="174"/>
        <v>0.4302645296740853</v>
      </c>
      <c r="V462">
        <f>IF(ISNUMBER('Set-up'!C517)=FALSE,"",('Set-up'!C517-'EPP model'!U462)^2)</f>
      </c>
    </row>
    <row r="463" spans="1:22" ht="12.75">
      <c r="A463" s="91">
        <f t="shared" si="183"/>
        <v>2025.9999999999582</v>
      </c>
      <c r="B463" s="171">
        <f t="shared" si="178"/>
        <v>28.11964506294632</v>
      </c>
      <c r="C463" s="171">
        <f t="shared" si="179"/>
        <v>0.18231776199356586</v>
      </c>
      <c r="D463" s="172">
        <f t="shared" si="180"/>
        <v>0.1217461062123519</v>
      </c>
      <c r="E463" s="171">
        <f t="shared" si="167"/>
        <v>28.423708931152238</v>
      </c>
      <c r="F463" s="171"/>
      <c r="G463" s="171">
        <f t="shared" si="175"/>
        <v>0.08491725161726388</v>
      </c>
      <c r="H463" s="171">
        <f t="shared" si="176"/>
        <v>0.08475139412095957</v>
      </c>
      <c r="I463" s="91">
        <f t="shared" si="164"/>
        <v>0.06190882967685272</v>
      </c>
      <c r="J463" s="91">
        <f t="shared" si="165"/>
        <v>29.745695056150083</v>
      </c>
      <c r="K463" s="172">
        <f t="shared" si="181"/>
        <v>0.052680677253437905</v>
      </c>
      <c r="L463" s="177">
        <f t="shared" si="168"/>
        <v>26.21718103688766</v>
      </c>
      <c r="M463" s="178">
        <f t="shared" si="169"/>
        <v>0.1274085151391773</v>
      </c>
      <c r="N463" s="403">
        <f t="shared" si="177"/>
        <v>0</v>
      </c>
      <c r="O463" s="177">
        <f t="shared" si="182"/>
        <v>0.002331247201734998</v>
      </c>
      <c r="P463" s="174">
        <f t="shared" si="166"/>
        <v>0.002621718103688766</v>
      </c>
      <c r="Q463" s="179">
        <f t="shared" si="170"/>
        <v>0.00428325896902634</v>
      </c>
      <c r="R463" s="179">
        <f t="shared" si="171"/>
        <v>0.010697543692922685</v>
      </c>
      <c r="S463" s="180">
        <f t="shared" si="172"/>
        <v>0.4003964921274472</v>
      </c>
      <c r="T463" s="179">
        <f t="shared" si="173"/>
        <v>0.9893024563070772</v>
      </c>
      <c r="U463" s="181">
        <f t="shared" si="174"/>
        <v>0.428325896902634</v>
      </c>
      <c r="V463">
        <f>IF(ISNUMBER('Set-up'!$N$53)=FALSE,"",('Set-up'!$N$53-'EPP model'!U463)^2)</f>
      </c>
    </row>
    <row r="464" spans="1:22" ht="12.75">
      <c r="A464" s="91">
        <f t="shared" si="183"/>
        <v>2026.099999999958</v>
      </c>
      <c r="B464" s="171">
        <f t="shared" si="178"/>
        <v>28.06050803585384</v>
      </c>
      <c r="C464" s="171">
        <f t="shared" si="179"/>
        <v>0.18248655515373635</v>
      </c>
      <c r="D464" s="172">
        <f t="shared" si="180"/>
        <v>0.12093784612519987</v>
      </c>
      <c r="E464" s="171">
        <f t="shared" si="167"/>
        <v>28.363932437132778</v>
      </c>
      <c r="F464" s="171"/>
      <c r="G464" s="171">
        <f t="shared" si="175"/>
        <v>0.08473866635255604</v>
      </c>
      <c r="H464" s="171">
        <f t="shared" si="176"/>
        <v>0.08457390996739679</v>
      </c>
      <c r="I464" s="91">
        <f t="shared" si="164"/>
        <v>0.061779316338962484</v>
      </c>
      <c r="J464" s="91">
        <f t="shared" si="165"/>
        <v>29.745695056150083</v>
      </c>
      <c r="K464" s="172">
        <f t="shared" si="181"/>
        <v>0.052680314675605674</v>
      </c>
      <c r="L464" s="177">
        <f t="shared" si="168"/>
        <v>26.162645763714096</v>
      </c>
      <c r="M464" s="178">
        <f t="shared" si="169"/>
        <v>0.12682939150137976</v>
      </c>
      <c r="N464" s="403">
        <f t="shared" si="177"/>
        <v>0</v>
      </c>
      <c r="O464" s="177">
        <f t="shared" si="182"/>
        <v>0.0023228835339098165</v>
      </c>
      <c r="P464" s="174">
        <f t="shared" si="166"/>
        <v>0.0026162645763714095</v>
      </c>
      <c r="Q464" s="179">
        <f t="shared" si="170"/>
        <v>0.00426378981099509</v>
      </c>
      <c r="R464" s="179">
        <f t="shared" si="171"/>
        <v>0.010697543507109285</v>
      </c>
      <c r="S464" s="180">
        <f t="shared" si="172"/>
        <v>0.3985765337772635</v>
      </c>
      <c r="T464" s="179">
        <f t="shared" si="173"/>
        <v>0.9893024564928906</v>
      </c>
      <c r="U464" s="181">
        <f t="shared" si="174"/>
        <v>0.426378981099509</v>
      </c>
      <c r="V464">
        <f>IF(ISNUMBER('Set-up'!C519)=FALSE,"",('Set-up'!C519-'EPP model'!U464)^2)</f>
      </c>
    </row>
    <row r="465" spans="1:22" ht="12.75">
      <c r="A465" s="91">
        <f t="shared" si="183"/>
        <v>2026.199999999958</v>
      </c>
      <c r="B465" s="171">
        <f t="shared" si="178"/>
        <v>28.001496018974372</v>
      </c>
      <c r="C465" s="171">
        <f t="shared" si="179"/>
        <v>0.18265625693731546</v>
      </c>
      <c r="D465" s="172">
        <f t="shared" si="180"/>
        <v>0.12013000393068092</v>
      </c>
      <c r="E465" s="171">
        <f t="shared" si="167"/>
        <v>28.304282279842365</v>
      </c>
      <c r="F465" s="171"/>
      <c r="G465" s="171">
        <f t="shared" si="175"/>
        <v>0.08456045852514307</v>
      </c>
      <c r="H465" s="171">
        <f t="shared" si="176"/>
        <v>0.08439680268182422</v>
      </c>
      <c r="I465" s="91">
        <f t="shared" si="164"/>
        <v>0.06165007514379022</v>
      </c>
      <c r="J465" s="91">
        <f t="shared" si="165"/>
        <v>29.745695056150083</v>
      </c>
      <c r="K465" s="172">
        <f t="shared" si="181"/>
        <v>0.05268040740602659</v>
      </c>
      <c r="L465" s="177">
        <f t="shared" si="168"/>
        <v>26.108489851537055</v>
      </c>
      <c r="M465" s="178">
        <f t="shared" si="169"/>
        <v>0.12624769738680144</v>
      </c>
      <c r="N465" s="403">
        <f t="shared" si="177"/>
        <v>0</v>
      </c>
      <c r="O465" s="177">
        <f t="shared" si="182"/>
        <v>0.002314465874733136</v>
      </c>
      <c r="P465" s="174">
        <f t="shared" si="166"/>
        <v>0.0026108489851537054</v>
      </c>
      <c r="Q465" s="179">
        <f t="shared" si="170"/>
        <v>0.004244234237878367</v>
      </c>
      <c r="R465" s="179">
        <f t="shared" si="171"/>
        <v>0.010697542438079539</v>
      </c>
      <c r="S465" s="180">
        <f t="shared" si="172"/>
        <v>0.39674853008952465</v>
      </c>
      <c r="T465" s="179">
        <f t="shared" si="173"/>
        <v>0.9893024575619206</v>
      </c>
      <c r="U465" s="181">
        <f t="shared" si="174"/>
        <v>0.42442342378783665</v>
      </c>
      <c r="V465">
        <f>IF(ISNUMBER('Set-up'!C520)=FALSE,"",('Set-up'!C520-'EPP model'!U465)^2)</f>
      </c>
    </row>
    <row r="466" spans="1:22" ht="12.75">
      <c r="A466" s="91">
        <f t="shared" si="183"/>
        <v>2026.299999999958</v>
      </c>
      <c r="B466" s="171">
        <f t="shared" si="178"/>
        <v>27.94260871900392</v>
      </c>
      <c r="C466" s="171">
        <f t="shared" si="179"/>
        <v>0.18282695995031953</v>
      </c>
      <c r="D466" s="172">
        <f t="shared" si="180"/>
        <v>0.11932248491370237</v>
      </c>
      <c r="E466" s="171">
        <f t="shared" si="167"/>
        <v>28.244758163867942</v>
      </c>
      <c r="F466" s="171"/>
      <c r="G466" s="171">
        <f t="shared" si="175"/>
        <v>0.08438262725246369</v>
      </c>
      <c r="H466" s="171">
        <f t="shared" si="176"/>
        <v>0.08422007151071309</v>
      </c>
      <c r="I466" s="91">
        <f t="shared" si="164"/>
        <v>0.0615211051058262</v>
      </c>
      <c r="J466" s="91">
        <f t="shared" si="165"/>
        <v>29.745695056150083</v>
      </c>
      <c r="K466" s="172">
        <f t="shared" si="181"/>
        <v>0.052680940909933645</v>
      </c>
      <c r="L466" s="177">
        <f t="shared" si="168"/>
        <v>26.054700630352137</v>
      </c>
      <c r="M466" s="178">
        <f t="shared" si="169"/>
        <v>0.12566332588131465</v>
      </c>
      <c r="N466" s="403">
        <f t="shared" si="177"/>
        <v>0</v>
      </c>
      <c r="O466" s="177">
        <f t="shared" si="182"/>
        <v>0.0023059931851628058</v>
      </c>
      <c r="P466" s="174">
        <f t="shared" si="166"/>
        <v>0.0026054700630352137</v>
      </c>
      <c r="Q466" s="179">
        <f t="shared" si="170"/>
        <v>0.0042245886554038705</v>
      </c>
      <c r="R466" s="179">
        <f t="shared" si="171"/>
        <v>0.010697540517466566</v>
      </c>
      <c r="S466" s="180">
        <f t="shared" si="172"/>
        <v>0.394912143450741</v>
      </c>
      <c r="T466" s="179">
        <f t="shared" si="173"/>
        <v>0.9893024594825335</v>
      </c>
      <c r="U466" s="181">
        <f t="shared" si="174"/>
        <v>0.42245886554038703</v>
      </c>
      <c r="V466">
        <f>IF(ISNUMBER('Set-up'!C521)=FALSE,"",('Set-up'!C521-'EPP model'!U466)^2)</f>
      </c>
    </row>
    <row r="467" spans="1:22" ht="12.75">
      <c r="A467" s="91">
        <f t="shared" si="183"/>
        <v>2026.3999999999578</v>
      </c>
      <c r="B467" s="171">
        <f t="shared" si="178"/>
        <v>27.883845844127887</v>
      </c>
      <c r="C467" s="171">
        <f t="shared" si="179"/>
        <v>0.18299875630436926</v>
      </c>
      <c r="D467" s="172">
        <f t="shared" si="180"/>
        <v>0.11851519494210473</v>
      </c>
      <c r="E467" s="171">
        <f t="shared" si="167"/>
        <v>28.18535979537436</v>
      </c>
      <c r="F467" s="171"/>
      <c r="G467" s="171">
        <f t="shared" si="175"/>
        <v>0.08420517165667069</v>
      </c>
      <c r="H467" s="171">
        <f t="shared" si="176"/>
        <v>0.08404371570445461</v>
      </c>
      <c r="I467" s="91">
        <f t="shared" si="164"/>
        <v>0.061392405299902655</v>
      </c>
      <c r="J467" s="91">
        <f t="shared" si="165"/>
        <v>29.745695056150083</v>
      </c>
      <c r="K467" s="172">
        <f t="shared" si="181"/>
        <v>0.05268189941269564</v>
      </c>
      <c r="L467" s="177">
        <f t="shared" si="168"/>
        <v>26.00126473418663</v>
      </c>
      <c r="M467" s="178">
        <f t="shared" si="169"/>
        <v>0.12507616982227013</v>
      </c>
      <c r="N467" s="403">
        <f t="shared" si="177"/>
        <v>0</v>
      </c>
      <c r="O467" s="177">
        <f t="shared" si="182"/>
        <v>0.0022974643848127064</v>
      </c>
      <c r="P467" s="174">
        <f t="shared" si="166"/>
        <v>0.002600126473418663</v>
      </c>
      <c r="Q467" s="179">
        <f t="shared" si="170"/>
        <v>0.004204849460944431</v>
      </c>
      <c r="R467" s="179">
        <f t="shared" si="171"/>
        <v>0.010697537779736165</v>
      </c>
      <c r="S467" s="180">
        <f t="shared" si="172"/>
        <v>0.3930670353798121</v>
      </c>
      <c r="T467" s="179">
        <f t="shared" si="173"/>
        <v>0.9893024622202639</v>
      </c>
      <c r="U467" s="181">
        <f t="shared" si="174"/>
        <v>0.4204849460944431</v>
      </c>
      <c r="V467">
        <f>IF(ISNUMBER('Set-up'!C522)=FALSE,"",('Set-up'!C522-'EPP model'!U467)^2)</f>
      </c>
    </row>
    <row r="468" spans="1:22" ht="12.75">
      <c r="A468" s="91">
        <f t="shared" si="183"/>
        <v>2026.4999999999577</v>
      </c>
      <c r="B468" s="171">
        <f t="shared" si="178"/>
        <v>27.825207104128</v>
      </c>
      <c r="C468" s="171">
        <f t="shared" si="179"/>
        <v>0.18317173758475286</v>
      </c>
      <c r="D468" s="172">
        <f t="shared" si="180"/>
        <v>0.11770804049260165</v>
      </c>
      <c r="E468" s="171">
        <f t="shared" si="167"/>
        <v>28.126086882205357</v>
      </c>
      <c r="F468" s="171"/>
      <c r="G468" s="171">
        <f t="shared" si="175"/>
        <v>0.08402809086493263</v>
      </c>
      <c r="H468" s="171">
        <f t="shared" si="176"/>
        <v>0.08386773451762623</v>
      </c>
      <c r="I468" s="91">
        <f t="shared" si="164"/>
        <v>0.06126397483879379</v>
      </c>
      <c r="J468" s="91">
        <f t="shared" si="165"/>
        <v>29.745695056150083</v>
      </c>
      <c r="K468" s="172">
        <f t="shared" si="181"/>
        <v>0.05268326573530032</v>
      </c>
      <c r="L468" s="177">
        <f t="shared" si="168"/>
        <v>25.948168170882116</v>
      </c>
      <c r="M468" s="178">
        <f t="shared" si="169"/>
        <v>0.12448612182752948</v>
      </c>
      <c r="N468" s="403">
        <f t="shared" si="177"/>
        <v>0</v>
      </c>
      <c r="O468" s="177">
        <f t="shared" si="182"/>
        <v>0.0022888783520789518</v>
      </c>
      <c r="P468" s="174">
        <f t="shared" si="166"/>
        <v>0.0025948168170882116</v>
      </c>
      <c r="Q468" s="179">
        <f t="shared" si="170"/>
        <v>0.0041850130444940235</v>
      </c>
      <c r="R468" s="179">
        <f t="shared" si="171"/>
        <v>0.010697534261963518</v>
      </c>
      <c r="S468" s="180">
        <f t="shared" si="172"/>
        <v>0.39121286662987226</v>
      </c>
      <c r="T468" s="179">
        <f t="shared" si="173"/>
        <v>0.9893024657380365</v>
      </c>
      <c r="U468" s="181">
        <f t="shared" si="174"/>
        <v>0.41850130444940237</v>
      </c>
      <c r="V468">
        <f>IF(ISNUMBER('Set-up'!C523)=FALSE,"",('Set-up'!C523-'EPP model'!U468)^2)</f>
      </c>
    </row>
    <row r="469" spans="1:22" ht="12.75">
      <c r="A469" s="91">
        <f t="shared" si="183"/>
        <v>2026.5999999999576</v>
      </c>
      <c r="B469" s="171">
        <f t="shared" si="178"/>
        <v>27.76669221045329</v>
      </c>
      <c r="C469" s="171">
        <f t="shared" si="179"/>
        <v>0.18334599482471217</v>
      </c>
      <c r="D469" s="172">
        <f t="shared" si="180"/>
        <v>0.11690092866952663</v>
      </c>
      <c r="E469" s="171">
        <f t="shared" si="167"/>
        <v>28.06693913394753</v>
      </c>
      <c r="F469" s="171"/>
      <c r="G469" s="171">
        <f t="shared" si="175"/>
        <v>0.08385138400962494</v>
      </c>
      <c r="H469" s="171">
        <f t="shared" si="176"/>
        <v>0.08369212720915728</v>
      </c>
      <c r="I469" s="91">
        <f t="shared" si="164"/>
        <v>0.06113581284367077</v>
      </c>
      <c r="J469" s="91">
        <f t="shared" si="165"/>
        <v>29.745695056150083</v>
      </c>
      <c r="K469" s="172">
        <f t="shared" si="181"/>
        <v>0.05268502140371746</v>
      </c>
      <c r="L469" s="177">
        <f t="shared" si="168"/>
        <v>25.895396359579635</v>
      </c>
      <c r="M469" s="178">
        <f t="shared" si="169"/>
        <v>0.12389307431741384</v>
      </c>
      <c r="N469" s="403">
        <f t="shared" si="177"/>
        <v>0</v>
      </c>
      <c r="O469" s="177">
        <f t="shared" si="182"/>
        <v>0.0022802339240335806</v>
      </c>
      <c r="P469" s="174">
        <f t="shared" si="166"/>
        <v>0.0025895396359579635</v>
      </c>
      <c r="Q469" s="179">
        <f t="shared" si="170"/>
        <v>0.004165075789405643</v>
      </c>
      <c r="R469" s="179">
        <f t="shared" si="171"/>
        <v>0.010697530003586466</v>
      </c>
      <c r="S469" s="180">
        <f t="shared" si="172"/>
        <v>0.38934929726855216</v>
      </c>
      <c r="T469" s="179">
        <f t="shared" si="173"/>
        <v>0.9893024699964136</v>
      </c>
      <c r="U469" s="181">
        <f t="shared" si="174"/>
        <v>0.41650757894056434</v>
      </c>
      <c r="V469">
        <f>IF(ISNUMBER('Set-up'!C524)=FALSE,"",('Set-up'!C524-'EPP model'!U469)^2)</f>
      </c>
    </row>
    <row r="470" spans="1:22" ht="12.75">
      <c r="A470" s="91">
        <f t="shared" si="183"/>
        <v>2026.6999999999575</v>
      </c>
      <c r="B470" s="171">
        <f t="shared" si="178"/>
        <v>27.7083008762833</v>
      </c>
      <c r="C470" s="171">
        <f t="shared" si="179"/>
        <v>0.18352161848826024</v>
      </c>
      <c r="D470" s="172">
        <f t="shared" si="180"/>
        <v>0.11609376721959018</v>
      </c>
      <c r="E470" s="171">
        <f t="shared" si="167"/>
        <v>28.00791626199115</v>
      </c>
      <c r="F470" s="171"/>
      <c r="G470" s="171">
        <f t="shared" si="175"/>
        <v>0.08367505022851167</v>
      </c>
      <c r="H470" s="171">
        <f t="shared" si="176"/>
        <v>0.08351689304249053</v>
      </c>
      <c r="I470" s="91">
        <f t="shared" si="164"/>
        <v>0.061007918444933765</v>
      </c>
      <c r="J470" s="91">
        <f t="shared" si="165"/>
        <v>29.745695056150083</v>
      </c>
      <c r="K470" s="172">
        <f t="shared" si="181"/>
        <v>0.05268714677082413</v>
      </c>
      <c r="L470" s="177">
        <f t="shared" si="168"/>
        <v>25.842934906221796</v>
      </c>
      <c r="M470" s="178">
        <f t="shared" si="169"/>
        <v>0.12329691953270999</v>
      </c>
      <c r="N470" s="403">
        <f t="shared" si="177"/>
        <v>0</v>
      </c>
      <c r="O470" s="177">
        <f t="shared" si="182"/>
        <v>0.002271529896261824</v>
      </c>
      <c r="P470" s="174">
        <f t="shared" si="166"/>
        <v>0.0025842934906221797</v>
      </c>
      <c r="Q470" s="179">
        <f t="shared" si="170"/>
        <v>0.004145034072996647</v>
      </c>
      <c r="R470" s="179">
        <f t="shared" si="171"/>
        <v>0.010697525046318816</v>
      </c>
      <c r="S470" s="180">
        <f t="shared" si="172"/>
        <v>0.38747598673985034</v>
      </c>
      <c r="T470" s="179">
        <f t="shared" si="173"/>
        <v>0.9893024749536813</v>
      </c>
      <c r="U470" s="181">
        <f t="shared" si="174"/>
        <v>0.4145034072996647</v>
      </c>
      <c r="V470">
        <f>IF(ISNUMBER('Set-up'!C525)=FALSE,"",('Set-up'!C525-'EPP model'!U470)^2)</f>
      </c>
    </row>
    <row r="471" spans="1:22" ht="12.75">
      <c r="A471" s="91">
        <f t="shared" si="183"/>
        <v>2026.7999999999574</v>
      </c>
      <c r="B471" s="171">
        <f t="shared" si="178"/>
        <v>27.650032816588425</v>
      </c>
      <c r="C471" s="171">
        <f t="shared" si="179"/>
        <v>0.18369869845647066</v>
      </c>
      <c r="D471" s="172">
        <f t="shared" si="180"/>
        <v>0.11528646446888875</v>
      </c>
      <c r="E471" s="171">
        <f t="shared" si="167"/>
        <v>27.949017979513783</v>
      </c>
      <c r="F471" s="171"/>
      <c r="G471" s="171">
        <f t="shared" si="175"/>
        <v>0.08349908866469641</v>
      </c>
      <c r="H471" s="171">
        <f t="shared" si="176"/>
        <v>0.08334203128561907</v>
      </c>
      <c r="I471" s="91">
        <f t="shared" si="164"/>
        <v>0.06088029078283499</v>
      </c>
      <c r="J471" s="91">
        <f t="shared" si="165"/>
        <v>29.745695056150083</v>
      </c>
      <c r="K471" s="172">
        <f t="shared" si="181"/>
        <v>0.052689621058051646</v>
      </c>
      <c r="L471" s="177">
        <f t="shared" si="168"/>
        <v>25.790766702467593</v>
      </c>
      <c r="M471" s="178">
        <f t="shared" si="169"/>
        <v>0.12269754947049857</v>
      </c>
      <c r="N471" s="403">
        <f t="shared" si="177"/>
        <v>0</v>
      </c>
      <c r="O471" s="177">
        <f t="shared" si="182"/>
        <v>0.0022627650227259725</v>
      </c>
      <c r="P471" s="174">
        <f t="shared" si="166"/>
        <v>0.002579076670246759</v>
      </c>
      <c r="Q471" s="179">
        <f t="shared" si="170"/>
        <v>0.004124884264391401</v>
      </c>
      <c r="R471" s="179">
        <f t="shared" si="171"/>
        <v>0.010697519431434446</v>
      </c>
      <c r="S471" s="180">
        <f t="shared" si="172"/>
        <v>0.38559259376248584</v>
      </c>
      <c r="T471" s="179">
        <f t="shared" si="173"/>
        <v>0.9893024805685656</v>
      </c>
      <c r="U471" s="181">
        <f t="shared" si="174"/>
        <v>0.4124884264391401</v>
      </c>
      <c r="V471">
        <f>IF(ISNUMBER('Set-up'!C526)=FALSE,"",('Set-up'!C526-'EPP model'!U471)^2)</f>
      </c>
    </row>
    <row r="472" spans="1:22" ht="12.75">
      <c r="A472" s="91">
        <f t="shared" si="183"/>
        <v>2026.8999999999573</v>
      </c>
      <c r="B472" s="171">
        <f t="shared" si="178"/>
        <v>27.59188774810921</v>
      </c>
      <c r="C472" s="171">
        <f t="shared" si="179"/>
        <v>0.18387732409848973</v>
      </c>
      <c r="D472" s="172">
        <f t="shared" si="180"/>
        <v>0.11447892954867338</v>
      </c>
      <c r="E472" s="171">
        <f t="shared" si="167"/>
        <v>27.890244001756376</v>
      </c>
      <c r="F472" s="171"/>
      <c r="G472" s="171">
        <f t="shared" si="175"/>
        <v>0.08332349846744727</v>
      </c>
      <c r="H472" s="171">
        <f t="shared" si="176"/>
        <v>0.08316754121160352</v>
      </c>
      <c r="I472" s="91">
        <f t="shared" si="164"/>
        <v>0.06075292900975751</v>
      </c>
      <c r="J472" s="91">
        <f t="shared" si="165"/>
        <v>29.745695056150083</v>
      </c>
      <c r="K472" s="172">
        <f t="shared" si="181"/>
        <v>0.052692423709517586</v>
      </c>
      <c r="L472" s="177">
        <f t="shared" si="168"/>
        <v>25.738874117822228</v>
      </c>
      <c r="M472" s="178">
        <f t="shared" si="169"/>
        <v>0.12209485612585114</v>
      </c>
      <c r="N472" s="403">
        <f t="shared" si="177"/>
        <v>0</v>
      </c>
      <c r="O472" s="177">
        <f t="shared" si="182"/>
        <v>0.002253938014152901</v>
      </c>
      <c r="P472" s="174">
        <f t="shared" si="166"/>
        <v>0.002573887411782223</v>
      </c>
      <c r="Q472" s="179">
        <f t="shared" si="170"/>
        <v>0.004104622732646732</v>
      </c>
      <c r="R472" s="179">
        <f t="shared" si="171"/>
        <v>0.010697513210295839</v>
      </c>
      <c r="S472" s="180">
        <f t="shared" si="172"/>
        <v>0.3836987767116035</v>
      </c>
      <c r="T472" s="179">
        <f t="shared" si="173"/>
        <v>0.9893024867897041</v>
      </c>
      <c r="U472" s="181">
        <f t="shared" si="174"/>
        <v>0.4104622732646732</v>
      </c>
      <c r="V472">
        <f>IF(ISNUMBER('Set-up'!C527)=FALSE,"",('Set-up'!C527-'EPP model'!U472)^2)</f>
      </c>
    </row>
    <row r="473" spans="1:22" ht="12.75">
      <c r="A473" s="91">
        <f t="shared" si="183"/>
        <v>2026.9999999999573</v>
      </c>
      <c r="B473" s="171">
        <f t="shared" si="178"/>
        <v>27.533865389651453</v>
      </c>
      <c r="C473" s="171">
        <f t="shared" si="179"/>
        <v>0.1840575840181481</v>
      </c>
      <c r="D473" s="172">
        <f t="shared" si="180"/>
        <v>0.11367107240598767</v>
      </c>
      <c r="E473" s="171">
        <f t="shared" si="167"/>
        <v>27.83159404607559</v>
      </c>
      <c r="F473" s="171"/>
      <c r="G473" s="171">
        <f t="shared" si="175"/>
        <v>0.08314827879235315</v>
      </c>
      <c r="H473" s="171">
        <f t="shared" si="176"/>
        <v>0.08299342209871402</v>
      </c>
      <c r="I473" s="91">
        <f aca="true" t="shared" si="184" ref="I473:I502">H323*l</f>
        <v>0.06062583228685065</v>
      </c>
      <c r="J473" s="91">
        <f t="shared" si="165"/>
        <v>29.745695056150083</v>
      </c>
      <c r="K473" s="172">
        <f t="shared" si="181"/>
        <v>0.05269552913520513</v>
      </c>
      <c r="L473" s="177">
        <f t="shared" si="168"/>
        <v>25.68724392515254</v>
      </c>
      <c r="M473" s="178">
        <f t="shared" si="169"/>
        <v>0.12148873150766717</v>
      </c>
      <c r="N473" s="403">
        <f t="shared" si="177"/>
        <v>0</v>
      </c>
      <c r="O473" s="177">
        <f t="shared" si="182"/>
        <v>0.0022450475430611603</v>
      </c>
      <c r="P473" s="174">
        <f t="shared" si="166"/>
        <v>0.002568724392515254</v>
      </c>
      <c r="Q473" s="179">
        <f t="shared" si="170"/>
        <v>0.004084245847284336</v>
      </c>
      <c r="R473" s="179">
        <f t="shared" si="171"/>
        <v>0.010697506435716252</v>
      </c>
      <c r="S473" s="180">
        <f t="shared" si="172"/>
        <v>0.3817941939860001</v>
      </c>
      <c r="T473" s="179">
        <f t="shared" si="173"/>
        <v>0.9893024935642837</v>
      </c>
      <c r="U473" s="181">
        <f t="shared" si="174"/>
        <v>0.40842458472843357</v>
      </c>
      <c r="V473">
        <f>IF(ISNUMBER('Set-up'!$N$54)=FALSE,"",('Set-up'!$N$54-'EPP model'!U473)^2)</f>
      </c>
    </row>
    <row r="474" spans="1:22" ht="12.75">
      <c r="A474" s="91">
        <f t="shared" si="183"/>
        <v>2027.0999999999572</v>
      </c>
      <c r="B474" s="171">
        <f t="shared" si="178"/>
        <v>27.47596546211817</v>
      </c>
      <c r="C474" s="171">
        <f t="shared" si="179"/>
        <v>0.1842395660686848</v>
      </c>
      <c r="D474" s="172">
        <f t="shared" si="180"/>
        <v>0.11286280331862188</v>
      </c>
      <c r="E474" s="171">
        <f t="shared" si="167"/>
        <v>27.773067831505475</v>
      </c>
      <c r="F474" s="171"/>
      <c r="G474" s="171">
        <f t="shared" si="175"/>
        <v>0.0829734288000142</v>
      </c>
      <c r="H474" s="171">
        <f t="shared" si="176"/>
        <v>0.08281967322978133</v>
      </c>
      <c r="I474" s="91">
        <f t="shared" si="184"/>
        <v>0.0604989997861183</v>
      </c>
      <c r="J474" s="91">
        <f t="shared" si="165"/>
        <v>29.745695056150083</v>
      </c>
      <c r="K474" s="172">
        <f t="shared" si="181"/>
        <v>0.0526989110204347</v>
      </c>
      <c r="L474" s="177">
        <f t="shared" si="168"/>
        <v>25.635859227725984</v>
      </c>
      <c r="M474" s="178">
        <f t="shared" si="169"/>
        <v>0.12087906712594484</v>
      </c>
      <c r="N474" s="403">
        <f t="shared" si="177"/>
        <v>0</v>
      </c>
      <c r="O474" s="177">
        <f t="shared" si="182"/>
        <v>0.0022360922406730686</v>
      </c>
      <c r="P474" s="174">
        <f t="shared" si="166"/>
        <v>0.0025635859227725985</v>
      </c>
      <c r="Q474" s="179">
        <f t="shared" si="170"/>
        <v>0.004063749961053691</v>
      </c>
      <c r="R474" s="179">
        <f t="shared" si="171"/>
        <v>0.01069749914520703</v>
      </c>
      <c r="S474" s="180">
        <f t="shared" si="172"/>
        <v>0.3798785029933316</v>
      </c>
      <c r="T474" s="179">
        <f t="shared" si="173"/>
        <v>0.9893025008547931</v>
      </c>
      <c r="U474" s="181">
        <f t="shared" si="174"/>
        <v>0.4063749961053691</v>
      </c>
      <c r="V474">
        <f>IF(ISNUMBER('Set-up'!C529)=FALSE,"",('Set-up'!C529-'EPP model'!U474)^2)</f>
      </c>
    </row>
    <row r="475" spans="1:22" ht="12.75">
      <c r="A475" s="91">
        <f t="shared" si="183"/>
        <v>2027.199999999957</v>
      </c>
      <c r="B475" s="171">
        <f t="shared" si="178"/>
        <v>27.418187688036475</v>
      </c>
      <c r="C475" s="171">
        <f t="shared" si="179"/>
        <v>0.18442335788215938</v>
      </c>
      <c r="D475" s="172">
        <f t="shared" si="180"/>
        <v>0.11205403320988509</v>
      </c>
      <c r="E475" s="171">
        <f t="shared" si="167"/>
        <v>27.71466507912852</v>
      </c>
      <c r="F475" s="171"/>
      <c r="G475" s="171">
        <f t="shared" si="175"/>
        <v>0.08279894765715042</v>
      </c>
      <c r="H475" s="171">
        <f t="shared" si="176"/>
        <v>0.08264629389287664</v>
      </c>
      <c r="I475" s="91">
        <f t="shared" si="184"/>
        <v>0.06037243069065475</v>
      </c>
      <c r="J475" s="91">
        <f t="shared" si="165"/>
        <v>29.745695056150083</v>
      </c>
      <c r="K475" s="172">
        <f t="shared" si="181"/>
        <v>0.05270255068797472</v>
      </c>
      <c r="L475" s="177">
        <f t="shared" si="168"/>
        <v>25.584702770615912</v>
      </c>
      <c r="M475" s="178">
        <f t="shared" si="169"/>
        <v>0.12026575432741132</v>
      </c>
      <c r="N475" s="403">
        <f t="shared" si="177"/>
        <v>0</v>
      </c>
      <c r="O475" s="177">
        <f t="shared" si="182"/>
        <v>0.00222707068740715</v>
      </c>
      <c r="P475" s="174">
        <f t="shared" si="166"/>
        <v>0.0025584702770615913</v>
      </c>
      <c r="Q475" s="179">
        <f t="shared" si="170"/>
        <v>0.004043131421215378</v>
      </c>
      <c r="R475" s="179">
        <f t="shared" si="171"/>
        <v>0.010697491391130574</v>
      </c>
      <c r="S475" s="180">
        <f t="shared" si="172"/>
        <v>0.37795136012613106</v>
      </c>
      <c r="T475" s="179">
        <f t="shared" si="173"/>
        <v>0.9893025086088695</v>
      </c>
      <c r="U475" s="181">
        <f t="shared" si="174"/>
        <v>0.4043131421215378</v>
      </c>
      <c r="V475">
        <f>IF(ISNUMBER('Set-up'!C530)=FALSE,"",('Set-up'!C530-'EPP model'!U475)^2)</f>
      </c>
    </row>
    <row r="476" spans="1:22" ht="12.75">
      <c r="A476" s="91">
        <f t="shared" si="183"/>
        <v>2027.299999999957</v>
      </c>
      <c r="B476" s="171">
        <f t="shared" si="178"/>
        <v>27.360531791998397</v>
      </c>
      <c r="C476" s="171">
        <f t="shared" si="179"/>
        <v>0.1846090464725805</v>
      </c>
      <c r="D476" s="172">
        <f t="shared" si="180"/>
        <v>0.1112446736431709</v>
      </c>
      <c r="E476" s="171">
        <f t="shared" si="167"/>
        <v>27.65638551211415</v>
      </c>
      <c r="F476" s="171"/>
      <c r="G476" s="171">
        <f t="shared" si="175"/>
        <v>0.08262483453671664</v>
      </c>
      <c r="H476" s="171">
        <f t="shared" si="176"/>
        <v>0.08247328338143399</v>
      </c>
      <c r="I476" s="91">
        <f t="shared" si="184"/>
        <v>0.06024612419484464</v>
      </c>
      <c r="J476" s="91">
        <f t="shared" si="165"/>
        <v>29.745695056150083</v>
      </c>
      <c r="K476" s="172">
        <f t="shared" si="181"/>
        <v>0.052706422044246456</v>
      </c>
      <c r="L476" s="177">
        <f t="shared" si="168"/>
        <v>25.53375710234398</v>
      </c>
      <c r="M476" s="178">
        <f t="shared" si="169"/>
        <v>0.11964868429250294</v>
      </c>
      <c r="N476" s="403">
        <f t="shared" si="177"/>
        <v>0</v>
      </c>
      <c r="O476" s="177">
        <f t="shared" si="182"/>
        <v>0.002217981425129204</v>
      </c>
      <c r="P476" s="174">
        <f t="shared" si="166"/>
        <v>0.002553375710234398</v>
      </c>
      <c r="Q476" s="179">
        <f t="shared" si="170"/>
        <v>0.004022386569439564</v>
      </c>
      <c r="R476" s="179">
        <f t="shared" si="171"/>
        <v>0.010697483226293634</v>
      </c>
      <c r="S476" s="180">
        <f t="shared" si="172"/>
        <v>0.37601242127240087</v>
      </c>
      <c r="T476" s="179">
        <f t="shared" si="173"/>
        <v>0.9893025167737064</v>
      </c>
      <c r="U476" s="181">
        <f t="shared" si="174"/>
        <v>0.40223865694395644</v>
      </c>
      <c r="V476">
        <f>IF(ISNUMBER('Set-up'!C531)=FALSE,"",('Set-up'!C531-'EPP model'!U476)^2)</f>
      </c>
    </row>
    <row r="477" spans="1:22" ht="12.75">
      <c r="A477" s="91">
        <f t="shared" si="183"/>
        <v>2027.399999999957</v>
      </c>
      <c r="B477" s="171">
        <f t="shared" si="178"/>
        <v>27.3029975006631</v>
      </c>
      <c r="C477" s="171">
        <f t="shared" si="179"/>
        <v>0.1847967182828923</v>
      </c>
      <c r="D477" s="172">
        <f t="shared" si="180"/>
        <v>0.1104346367951229</v>
      </c>
      <c r="E477" s="171">
        <f t="shared" si="167"/>
        <v>27.598228855741116</v>
      </c>
      <c r="F477" s="171"/>
      <c r="G477" s="171">
        <f t="shared" si="175"/>
        <v>0.08245108861796939</v>
      </c>
      <c r="H477" s="171">
        <f t="shared" si="176"/>
        <v>0.08230064099435368</v>
      </c>
      <c r="I477" s="91">
        <f t="shared" si="184"/>
        <v>0.06012007950450096</v>
      </c>
      <c r="J477" s="91">
        <f t="shared" si="165"/>
        <v>29.745695056150083</v>
      </c>
      <c r="K477" s="172">
        <f t="shared" si="181"/>
        <v>0.05271049877006548</v>
      </c>
      <c r="L477" s="177">
        <f t="shared" si="168"/>
        <v>25.483004603533686</v>
      </c>
      <c r="M477" s="178">
        <f>MIN(1,J477*D477/E477)</f>
        <v>0.11902774800930985</v>
      </c>
      <c r="N477" s="403">
        <f t="shared" si="177"/>
        <v>0</v>
      </c>
      <c r="O477" s="177">
        <f t="shared" si="182"/>
        <v>0.002208822951893779</v>
      </c>
      <c r="P477" s="174">
        <f t="shared" si="166"/>
        <v>0.0025483004603533686</v>
      </c>
      <c r="Q477" s="179">
        <f t="shared" si="170"/>
        <v>0.004001511740930062</v>
      </c>
      <c r="R477" s="179">
        <f t="shared" si="171"/>
        <v>0.01069747470467112</v>
      </c>
      <c r="S477" s="180">
        <f t="shared" si="172"/>
        <v>0.37406134170925187</v>
      </c>
      <c r="T477" s="179">
        <f t="shared" si="173"/>
        <v>0.9893025252953288</v>
      </c>
      <c r="U477" s="181">
        <f t="shared" si="174"/>
        <v>0.4001511740930062</v>
      </c>
      <c r="V477">
        <f>IF(ISNUMBER('Set-up'!C532)=FALSE,"",('Set-up'!C532-'EPP model'!U477)^2)</f>
      </c>
    </row>
    <row r="478" spans="1:22" ht="12.75">
      <c r="A478" s="91">
        <f t="shared" si="183"/>
        <v>2027.4999999999568</v>
      </c>
      <c r="B478" s="171">
        <f t="shared" si="178"/>
        <v>27.24558454275631</v>
      </c>
      <c r="C478" s="171">
        <f t="shared" si="179"/>
        <v>0.1849864592089573</v>
      </c>
      <c r="D478" s="172">
        <f t="shared" si="180"/>
        <v>0.1096238354257755</v>
      </c>
      <c r="E478" s="171">
        <f t="shared" si="167"/>
        <v>27.54019483739104</v>
      </c>
      <c r="F478" s="171"/>
      <c r="G478" s="171">
        <f t="shared" si="175"/>
        <v>0.08227770908644762</v>
      </c>
      <c r="H478" s="171">
        <f t="shared" si="176"/>
        <v>0.08212836603602364</v>
      </c>
      <c r="I478" s="91">
        <f t="shared" si="184"/>
        <v>0.059994295811044165</v>
      </c>
      <c r="J478" s="91">
        <f t="shared" si="165"/>
        <v>29.745695056150083</v>
      </c>
      <c r="K478" s="172">
        <f t="shared" si="181"/>
        <v>0.0527147539574553</v>
      </c>
      <c r="L478" s="177">
        <f t="shared" si="168"/>
        <v>25.43242748386829</v>
      </c>
      <c r="M478" s="178">
        <f t="shared" si="169"/>
        <v>0.11840283624404484</v>
      </c>
      <c r="N478" s="403">
        <f t="shared" si="177"/>
        <v>0</v>
      </c>
      <c r="O478" s="177">
        <f t="shared" si="182"/>
        <v>0.0021995937216723526</v>
      </c>
      <c r="P478" s="174">
        <f t="shared" si="166"/>
        <v>0.0025432427483868293</v>
      </c>
      <c r="Q478" s="179">
        <f t="shared" si="170"/>
        <v>0.00398050326343154</v>
      </c>
      <c r="R478" s="179">
        <f t="shared" si="171"/>
        <v>0.010697465881205145</v>
      </c>
      <c r="S478" s="180">
        <f t="shared" si="172"/>
        <v>0.3720977760186236</v>
      </c>
      <c r="T478" s="179">
        <f t="shared" si="173"/>
        <v>0.9893025341187949</v>
      </c>
      <c r="U478" s="181">
        <f t="shared" si="174"/>
        <v>0.398050326343154</v>
      </c>
      <c r="V478">
        <f>IF(ISNUMBER('Set-up'!C533)=FALSE,"",('Set-up'!C533-'EPP model'!U478)^2)</f>
      </c>
    </row>
    <row r="479" spans="1:22" ht="12.75">
      <c r="A479" s="91">
        <f t="shared" si="183"/>
        <v>2027.5999999999567</v>
      </c>
      <c r="B479" s="171">
        <f t="shared" si="178"/>
        <v>27.18829264911519</v>
      </c>
      <c r="C479" s="171">
        <f t="shared" si="179"/>
        <v>0.1851783546332258</v>
      </c>
      <c r="D479" s="172">
        <f t="shared" si="180"/>
        <v>0.1088121828484788</v>
      </c>
      <c r="E479" s="171">
        <f t="shared" si="167"/>
        <v>27.482283186596895</v>
      </c>
      <c r="F479" s="171"/>
      <c r="G479" s="171">
        <f t="shared" si="175"/>
        <v>0.08210469513411757</v>
      </c>
      <c r="H479" s="171">
        <f t="shared" si="176"/>
        <v>0.0819564578165053</v>
      </c>
      <c r="I479" s="91">
        <f t="shared" si="184"/>
        <v>0.05986877234605653</v>
      </c>
      <c r="J479" s="91">
        <f t="shared" si="165"/>
        <v>29.745695056150083</v>
      </c>
      <c r="K479" s="172">
        <f t="shared" si="181"/>
        <v>0.05271916020930778</v>
      </c>
      <c r="L479" s="177">
        <f t="shared" si="168"/>
        <v>25.382007840628017</v>
      </c>
      <c r="M479" s="178">
        <f t="shared" si="169"/>
        <v>0.11777383951066445</v>
      </c>
      <c r="N479" s="403">
        <f t="shared" si="177"/>
        <v>0</v>
      </c>
      <c r="O479" s="177">
        <f t="shared" si="182"/>
        <v>0.002190292143708385</v>
      </c>
      <c r="P479" s="174">
        <f t="shared" si="166"/>
        <v>0.0025382007840628017</v>
      </c>
      <c r="Q479" s="179">
        <f t="shared" si="170"/>
        <v>0.003959357456208241</v>
      </c>
      <c r="R479" s="179">
        <f t="shared" si="171"/>
        <v>0.010697456811924699</v>
      </c>
      <c r="S479" s="180">
        <f t="shared" si="172"/>
        <v>0.3701213779890801</v>
      </c>
      <c r="T479" s="179">
        <f t="shared" si="173"/>
        <v>0.9893025431880753</v>
      </c>
      <c r="U479" s="181">
        <f t="shared" si="174"/>
        <v>0.39593574562082406</v>
      </c>
      <c r="V479">
        <f>IF(ISNUMBER('Set-up'!C534)=FALSE,"",('Set-up'!C534-'EPP model'!U479)^2)</f>
      </c>
    </row>
    <row r="480" spans="1:22" ht="12.75">
      <c r="A480" s="91">
        <f t="shared" si="183"/>
        <v>2027.6999999999566</v>
      </c>
      <c r="B480" s="171">
        <f t="shared" si="178"/>
        <v>27.131121552708443</v>
      </c>
      <c r="C480" s="171">
        <f t="shared" si="179"/>
        <v>0.18537248945385612</v>
      </c>
      <c r="D480" s="172">
        <f t="shared" si="180"/>
        <v>0.10799959289352046</v>
      </c>
      <c r="E480" s="171">
        <f t="shared" si="167"/>
        <v>27.424493635055818</v>
      </c>
      <c r="F480" s="171"/>
      <c r="G480" s="171">
        <f t="shared" si="175"/>
        <v>0.08193204595941102</v>
      </c>
      <c r="H480" s="171">
        <f t="shared" si="176"/>
        <v>0.08178491565162145</v>
      </c>
      <c r="I480" s="91">
        <f t="shared" si="184"/>
        <v>0.05974350835172071</v>
      </c>
      <c r="J480" s="91">
        <f t="shared" si="165"/>
        <v>29.745695056150083</v>
      </c>
      <c r="K480" s="172">
        <f t="shared" si="181"/>
        <v>0.05272368957811821</v>
      </c>
      <c r="L480" s="177">
        <f t="shared" si="168"/>
        <v>25.33172768190338</v>
      </c>
      <c r="M480" s="178">
        <f t="shared" si="169"/>
        <v>0.11714064803342629</v>
      </c>
      <c r="N480" s="403">
        <f t="shared" si="177"/>
        <v>0</v>
      </c>
      <c r="O480" s="177">
        <f t="shared" si="182"/>
        <v>0.002180916581942244</v>
      </c>
      <c r="P480" s="174">
        <f t="shared" si="166"/>
        <v>0.002533172768190338</v>
      </c>
      <c r="Q480" s="179">
        <f t="shared" si="170"/>
        <v>0.003938070628785218</v>
      </c>
      <c r="R480" s="179">
        <f t="shared" si="171"/>
        <v>0.010697447553684958</v>
      </c>
      <c r="S480" s="180">
        <f t="shared" si="172"/>
        <v>0.36813180050868</v>
      </c>
      <c r="T480" s="179">
        <f t="shared" si="173"/>
        <v>0.9893025524463152</v>
      </c>
      <c r="U480" s="181">
        <f t="shared" si="174"/>
        <v>0.39380706287852174</v>
      </c>
      <c r="V480">
        <f>IF(ISNUMBER('Set-up'!C535)=FALSE,"",('Set-up'!C535-'EPP model'!U480)^2)</f>
      </c>
    </row>
    <row r="481" spans="1:22" ht="12.75">
      <c r="A481" s="91">
        <f t="shared" si="183"/>
        <v>2027.7999999999565</v>
      </c>
      <c r="B481" s="171">
        <f t="shared" si="178"/>
        <v>27.074070988648863</v>
      </c>
      <c r="C481" s="171">
        <f t="shared" si="179"/>
        <v>0.18556894812255076</v>
      </c>
      <c r="D481" s="172">
        <f t="shared" si="180"/>
        <v>0.10718597986878689</v>
      </c>
      <c r="E481" s="171">
        <f t="shared" si="167"/>
        <v>27.366825916640202</v>
      </c>
      <c r="F481" s="171"/>
      <c r="G481" s="171">
        <f t="shared" si="175"/>
        <v>0.08175976076725845</v>
      </c>
      <c r="H481" s="171">
        <f t="shared" si="176"/>
        <v>0.08161373886304285</v>
      </c>
      <c r="I481" s="91">
        <f t="shared" si="184"/>
        <v>0.05961850308141841</v>
      </c>
      <c r="J481" s="91">
        <f t="shared" si="165"/>
        <v>29.745695056150083</v>
      </c>
      <c r="K481" s="172">
        <f t="shared" si="181"/>
        <v>0.05272831369584508</v>
      </c>
      <c r="L481" s="177">
        <f t="shared" si="168"/>
        <v>25.281568960649405</v>
      </c>
      <c r="M481" s="178">
        <f t="shared" si="169"/>
        <v>0.11650315170576434</v>
      </c>
      <c r="N481" s="403">
        <f t="shared" si="177"/>
        <v>0</v>
      </c>
      <c r="O481" s="177">
        <f t="shared" si="182"/>
        <v>0.0021714653542194186</v>
      </c>
      <c r="P481" s="174">
        <f t="shared" si="166"/>
        <v>0.0025281568960649407</v>
      </c>
      <c r="Q481" s="179">
        <f t="shared" si="170"/>
        <v>0.00391663907956579</v>
      </c>
      <c r="R481" s="179">
        <f t="shared" si="171"/>
        <v>0.010697438164114241</v>
      </c>
      <c r="S481" s="180">
        <f t="shared" si="172"/>
        <v>0.3661286954389319</v>
      </c>
      <c r="T481" s="179">
        <f t="shared" si="173"/>
        <v>0.9893025618358857</v>
      </c>
      <c r="U481" s="181">
        <f t="shared" si="174"/>
        <v>0.391663907956579</v>
      </c>
      <c r="V481">
        <f>IF(ISNUMBER('Set-up'!C536)=FALSE,"",('Set-up'!C536-'EPP model'!U481)^2)</f>
      </c>
    </row>
    <row r="482" spans="1:22" ht="12.75">
      <c r="A482" s="91">
        <f t="shared" si="183"/>
        <v>2027.8999999999564</v>
      </c>
      <c r="B482" s="171">
        <f t="shared" si="178"/>
        <v>27.01714069420457</v>
      </c>
      <c r="C482" s="171">
        <f t="shared" si="179"/>
        <v>0.18576781468473805</v>
      </c>
      <c r="D482" s="172">
        <f t="shared" si="180"/>
        <v>0.10637125851639298</v>
      </c>
      <c r="E482" s="171">
        <f t="shared" si="167"/>
        <v>27.3092797674057</v>
      </c>
      <c r="F482" s="171"/>
      <c r="G482" s="171">
        <f t="shared" si="175"/>
        <v>0.08158783876911291</v>
      </c>
      <c r="H482" s="171">
        <f t="shared" si="176"/>
        <v>0.08144292677837134</v>
      </c>
      <c r="I482" s="91">
        <f t="shared" si="184"/>
        <v>0.059493755800167164</v>
      </c>
      <c r="J482" s="91">
        <f t="shared" si="165"/>
        <v>29.745695056150083</v>
      </c>
      <c r="K482" s="172">
        <f t="shared" si="181"/>
        <v>0.05273300379914471</v>
      </c>
      <c r="L482" s="177">
        <f t="shared" si="168"/>
        <v>25.23151360775596</v>
      </c>
      <c r="M482" s="178">
        <f t="shared" si="169"/>
        <v>0.11586124004427055</v>
      </c>
      <c r="N482" s="403">
        <f t="shared" si="177"/>
        <v>0</v>
      </c>
      <c r="O482" s="177">
        <f t="shared" si="182"/>
        <v>0.0021619367315000647</v>
      </c>
      <c r="P482" s="174">
        <f t="shared" si="166"/>
        <v>0.002523151360775596</v>
      </c>
      <c r="Q482" s="179">
        <f t="shared" si="170"/>
        <v>0.0038950590942844893</v>
      </c>
      <c r="R482" s="179">
        <f t="shared" si="171"/>
        <v>0.010697428701499707</v>
      </c>
      <c r="S482" s="180">
        <f t="shared" si="172"/>
        <v>0.3641117134754474</v>
      </c>
      <c r="T482" s="179">
        <f t="shared" si="173"/>
        <v>0.9893025712985003</v>
      </c>
      <c r="U482" s="181">
        <f t="shared" si="174"/>
        <v>0.3895059094284489</v>
      </c>
      <c r="V482">
        <f>IF(ISNUMBER('Set-up'!C537)=FALSE,"",('Set-up'!C537-'EPP model'!U482)^2)</f>
      </c>
    </row>
    <row r="483" spans="1:22" ht="12.75">
      <c r="A483" s="91">
        <f t="shared" si="183"/>
        <v>2027.9999999999563</v>
      </c>
      <c r="B483" s="171">
        <f t="shared" si="178"/>
        <v>26.96033040880883</v>
      </c>
      <c r="C483" s="171">
        <f t="shared" si="179"/>
        <v>0.18596917282416695</v>
      </c>
      <c r="D483" s="172">
        <f t="shared" si="180"/>
        <v>0.10555534396529609</v>
      </c>
      <c r="E483" s="171">
        <f t="shared" si="167"/>
        <v>27.25185492559829</v>
      </c>
      <c r="F483" s="171"/>
      <c r="G483" s="171">
        <f t="shared" si="175"/>
        <v>0.08141627918297119</v>
      </c>
      <c r="H483" s="171">
        <f t="shared" si="176"/>
        <v>0.08127247873122542</v>
      </c>
      <c r="I483" s="91">
        <f t="shared" si="184"/>
        <v>0.05936926578692225</v>
      </c>
      <c r="J483" s="91">
        <f aca="true" t="shared" si="185" ref="J483:J503">force_of_infection</f>
        <v>29.745695056150083</v>
      </c>
      <c r="K483" s="172">
        <f t="shared" si="181"/>
        <v>0.052737730786590456</v>
      </c>
      <c r="L483" s="177">
        <f t="shared" si="168"/>
        <v>25.181541713876193</v>
      </c>
      <c r="M483" s="178">
        <f t="shared" si="169"/>
        <v>0.11521480213772266</v>
      </c>
      <c r="N483" s="403">
        <f t="shared" si="177"/>
        <v>0</v>
      </c>
      <c r="O483" s="177">
        <f t="shared" si="182"/>
        <v>0.0021523289369688005</v>
      </c>
      <c r="P483" s="174">
        <f t="shared" si="166"/>
        <v>0.0025181541713876193</v>
      </c>
      <c r="Q483" s="179">
        <f t="shared" si="170"/>
        <v>0.003873326944293452</v>
      </c>
      <c r="R483" s="179">
        <f t="shared" si="171"/>
        <v>0.010697419224686514</v>
      </c>
      <c r="S483" s="180">
        <f t="shared" si="172"/>
        <v>0.3620805039924907</v>
      </c>
      <c r="T483" s="179">
        <f t="shared" si="173"/>
        <v>0.9893025807753135</v>
      </c>
      <c r="U483" s="181">
        <f t="shared" si="174"/>
        <v>0.3873326944293452</v>
      </c>
      <c r="V483">
        <f>IF(ISNUMBER('Set-up'!$N$55)=FALSE,"",('Set-up'!$N$55-'EPP model'!U483)^2)</f>
      </c>
    </row>
    <row r="484" spans="1:22" ht="12.75">
      <c r="A484" s="91">
        <f t="shared" si="183"/>
        <v>2028.0999999999563</v>
      </c>
      <c r="B484" s="171">
        <f t="shared" si="178"/>
        <v>26.90363987406297</v>
      </c>
      <c r="C484" s="171">
        <f t="shared" si="179"/>
        <v>0.18617310591112815</v>
      </c>
      <c r="D484" s="172">
        <f t="shared" si="180"/>
        <v>0.10473815186495608</v>
      </c>
      <c r="E484" s="171">
        <f t="shared" si="167"/>
        <v>27.194551131839056</v>
      </c>
      <c r="F484" s="171"/>
      <c r="G484" s="171">
        <f t="shared" si="175"/>
        <v>0.08124508123392578</v>
      </c>
      <c r="H484" s="171">
        <f t="shared" si="176"/>
        <v>0.0811023940616103</v>
      </c>
      <c r="I484" s="91">
        <f t="shared" si="184"/>
        <v>0.05924503233060414</v>
      </c>
      <c r="J484" s="91">
        <f t="shared" si="185"/>
        <v>29.745695056150083</v>
      </c>
      <c r="K484" s="172">
        <f t="shared" si="181"/>
        <v>0.05274246526791121</v>
      </c>
      <c r="L484" s="177">
        <f t="shared" si="168"/>
        <v>25.1316379932352</v>
      </c>
      <c r="M484" s="178">
        <f t="shared" si="169"/>
        <v>0.11456372679275886</v>
      </c>
      <c r="N484" s="403">
        <f t="shared" si="177"/>
        <v>0</v>
      </c>
      <c r="O484" s="177">
        <f t="shared" si="182"/>
        <v>0.0021426401450652345</v>
      </c>
      <c r="P484" s="174">
        <f aca="true" t="shared" si="186" ref="P484:P502">O473*$Y$6+O462*$Y$7+O451*$Y$8+O440*$Y$9+O429*$Y$10+O418*$Y$11+O407*$Y$12+O396*$Y$13+O385*$Y$14+O374*$Y$15+O363*$Y$16+O352*$Y$17+O341*$Y$18+O330*$Y$19+O319*$N$20</f>
        <v>0.00251316379932352</v>
      </c>
      <c r="Q484" s="179">
        <f t="shared" si="170"/>
        <v>0.003851438891459764</v>
      </c>
      <c r="R484" s="179">
        <f t="shared" si="171"/>
        <v>0.010697409799696557</v>
      </c>
      <c r="S484" s="180">
        <f t="shared" si="172"/>
        <v>0.36003471527930186</v>
      </c>
      <c r="T484" s="179">
        <f t="shared" si="173"/>
        <v>0.9893025902003034</v>
      </c>
      <c r="U484" s="181">
        <f t="shared" si="174"/>
        <v>0.3851438891459764</v>
      </c>
      <c r="V484">
        <f>IF(ISNUMBER('Set-up'!C539)=FALSE,"",('Set-up'!C539-'EPP model'!U484)^2)</f>
      </c>
    </row>
    <row r="485" spans="1:22" ht="12.75">
      <c r="A485" s="91">
        <f t="shared" si="183"/>
        <v>2028.1999999999562</v>
      </c>
      <c r="B485" s="171">
        <f t="shared" si="178"/>
        <v>26.84706883393673</v>
      </c>
      <c r="C485" s="171">
        <f t="shared" si="179"/>
        <v>0.18637969685249048</v>
      </c>
      <c r="D485" s="172">
        <f t="shared" si="180"/>
        <v>0.10391959787474736</v>
      </c>
      <c r="E485" s="171">
        <f t="shared" si="167"/>
        <v>27.13736812866397</v>
      </c>
      <c r="F485" s="171"/>
      <c r="G485" s="171">
        <f t="shared" si="175"/>
        <v>0.08107424415279005</v>
      </c>
      <c r="H485" s="171">
        <f t="shared" si="176"/>
        <v>0.08093267211523845</v>
      </c>
      <c r="I485" s="91">
        <f t="shared" si="184"/>
        <v>0.0591210547322008</v>
      </c>
      <c r="J485" s="91">
        <f t="shared" si="185"/>
        <v>29.745695056150083</v>
      </c>
      <c r="K485" s="172">
        <f t="shared" si="181"/>
        <v>0.05274717425711534</v>
      </c>
      <c r="L485" s="177">
        <f t="shared" si="168"/>
        <v>25.081784281373302</v>
      </c>
      <c r="M485" s="178">
        <f t="shared" si="169"/>
        <v>0.11390790197797128</v>
      </c>
      <c r="N485" s="403">
        <f t="shared" si="177"/>
        <v>0</v>
      </c>
      <c r="O485" s="177">
        <f t="shared" si="182"/>
        <v>0.0021328684841761844</v>
      </c>
      <c r="P485" s="174">
        <f t="shared" si="186"/>
        <v>0.00250817842813733</v>
      </c>
      <c r="Q485" s="179">
        <f t="shared" si="170"/>
        <v>0.003829391169476815</v>
      </c>
      <c r="R485" s="179">
        <f t="shared" si="171"/>
        <v>0.010697400475641846</v>
      </c>
      <c r="S485" s="180">
        <f t="shared" si="172"/>
        <v>0.357973993606802</v>
      </c>
      <c r="T485" s="179">
        <f t="shared" si="173"/>
        <v>0.9893025995243582</v>
      </c>
      <c r="U485" s="181">
        <f t="shared" si="174"/>
        <v>0.3829391169476815</v>
      </c>
      <c r="V485">
        <f>IF(ISNUMBER('Set-up'!C540)=FALSE,"",('Set-up'!C540-'EPP model'!U485)^2)</f>
      </c>
    </row>
    <row r="486" spans="1:22" ht="12.75">
      <c r="A486" s="91">
        <f t="shared" si="183"/>
        <v>2028.299999999956</v>
      </c>
      <c r="B486" s="171">
        <f t="shared" si="178"/>
        <v>26.79061703425562</v>
      </c>
      <c r="C486" s="171">
        <f t="shared" si="179"/>
        <v>0.18658902866717741</v>
      </c>
      <c r="D486" s="172">
        <f t="shared" si="180"/>
        <v>0.10309959789307316</v>
      </c>
      <c r="E486" s="171">
        <f t="shared" si="167"/>
        <v>27.080305660815874</v>
      </c>
      <c r="F486" s="171"/>
      <c r="G486" s="171">
        <f t="shared" si="175"/>
        <v>0.08090376717697048</v>
      </c>
      <c r="H486" s="171">
        <f t="shared" si="176"/>
        <v>0.0807633122440899</v>
      </c>
      <c r="I486" s="91">
        <f t="shared" si="184"/>
        <v>0.05899733230481229</v>
      </c>
      <c r="J486" s="91">
        <f t="shared" si="185"/>
        <v>29.745695056150083</v>
      </c>
      <c r="K486" s="172">
        <f t="shared" si="181"/>
        <v>0.0527518332069518</v>
      </c>
      <c r="L486" s="177">
        <f t="shared" si="168"/>
        <v>25.031962564666397</v>
      </c>
      <c r="M486" s="178">
        <f t="shared" si="169"/>
        <v>0.11324721507026934</v>
      </c>
      <c r="N486" s="403">
        <f t="shared" si="177"/>
        <v>0</v>
      </c>
      <c r="O486" s="177">
        <f t="shared" si="182"/>
        <v>0.0021230120239757485</v>
      </c>
      <c r="P486" s="174">
        <f t="shared" si="186"/>
        <v>0.0025031962564666397</v>
      </c>
      <c r="Q486" s="179">
        <f t="shared" si="170"/>
        <v>0.003807179992146624</v>
      </c>
      <c r="R486" s="179">
        <f t="shared" si="171"/>
        <v>0.010697391314139356</v>
      </c>
      <c r="S486" s="180">
        <f t="shared" si="172"/>
        <v>0.35589798300773157</v>
      </c>
      <c r="T486" s="179">
        <f t="shared" si="173"/>
        <v>0.9893026086858606</v>
      </c>
      <c r="U486" s="181">
        <f t="shared" si="174"/>
        <v>0.3807179992146624</v>
      </c>
      <c r="V486">
        <f>IF(ISNUMBER('Set-up'!C541)=FALSE,"",('Set-up'!C541-'EPP model'!U486)^2)</f>
      </c>
    </row>
    <row r="487" spans="1:22" ht="12.75">
      <c r="A487" s="91">
        <f t="shared" si="183"/>
        <v>2028.399999999956</v>
      </c>
      <c r="B487" s="171">
        <f t="shared" si="178"/>
        <v>26.734284223060964</v>
      </c>
      <c r="C487" s="171">
        <f t="shared" si="179"/>
        <v>0.18680118417822753</v>
      </c>
      <c r="D487" s="172">
        <f t="shared" si="180"/>
        <v>0.10227806799306623</v>
      </c>
      <c r="E487" s="171">
        <f t="shared" si="167"/>
        <v>27.02336347523226</v>
      </c>
      <c r="F487" s="171"/>
      <c r="G487" s="171">
        <f t="shared" si="175"/>
        <v>0.08073364955043015</v>
      </c>
      <c r="H487" s="171">
        <f t="shared" si="176"/>
        <v>0.08059431380646324</v>
      </c>
      <c r="I487" s="91">
        <f t="shared" si="184"/>
        <v>0.05887386437365747</v>
      </c>
      <c r="J487" s="91">
        <f t="shared" si="185"/>
        <v>29.745695056150083</v>
      </c>
      <c r="K487" s="172">
        <f t="shared" si="181"/>
        <v>0.05275641131277377</v>
      </c>
      <c r="L487" s="177">
        <f t="shared" si="168"/>
        <v>24.98215503633276</v>
      </c>
      <c r="M487" s="178">
        <f t="shared" si="169"/>
        <v>0.11258155278273642</v>
      </c>
      <c r="N487" s="403">
        <f t="shared" si="177"/>
        <v>0</v>
      </c>
      <c r="O487" s="177">
        <f t="shared" si="182"/>
        <v>0.002113068785922449</v>
      </c>
      <c r="P487" s="174">
        <f t="shared" si="186"/>
        <v>0.002498215503633276</v>
      </c>
      <c r="Q487" s="179">
        <f t="shared" si="170"/>
        <v>0.0037848015509544994</v>
      </c>
      <c r="R487" s="179">
        <f t="shared" si="171"/>
        <v>0.010697382375670732</v>
      </c>
      <c r="S487" s="180">
        <f t="shared" si="172"/>
        <v>0.35380632551401997</v>
      </c>
      <c r="T487" s="179">
        <f t="shared" si="173"/>
        <v>0.9893026176243293</v>
      </c>
      <c r="U487" s="181">
        <f t="shared" si="174"/>
        <v>0.37848015509544997</v>
      </c>
      <c r="V487">
        <f>IF(ISNUMBER('Set-up'!C542)=FALSE,"",('Set-up'!C542-'EPP model'!U487)^2)</f>
      </c>
    </row>
    <row r="488" spans="1:22" ht="12.75">
      <c r="A488" s="91">
        <f t="shared" si="183"/>
        <v>2028.499999999956</v>
      </c>
      <c r="B488" s="171">
        <f t="shared" si="178"/>
        <v>26.678070150564178</v>
      </c>
      <c r="C488" s="171">
        <f t="shared" si="179"/>
        <v>0.18701624611594192</v>
      </c>
      <c r="D488" s="172">
        <f t="shared" si="180"/>
        <v>0.10145492434734253</v>
      </c>
      <c r="E488" s="171">
        <f t="shared" si="167"/>
        <v>26.966541321027464</v>
      </c>
      <c r="F488" s="171"/>
      <c r="G488" s="171">
        <f t="shared" si="175"/>
        <v>0.0805638905236356</v>
      </c>
      <c r="H488" s="171">
        <f t="shared" si="176"/>
        <v>0.08042567616702495</v>
      </c>
      <c r="I488" s="91">
        <f t="shared" si="184"/>
        <v>0.05875065027600146</v>
      </c>
      <c r="J488" s="91">
        <f t="shared" si="185"/>
        <v>29.745695056150083</v>
      </c>
      <c r="K488" s="172">
        <f t="shared" si="181"/>
        <v>0.05276087832768484</v>
      </c>
      <c r="L488" s="177">
        <f t="shared" si="168"/>
        <v>24.932344088813796</v>
      </c>
      <c r="M488" s="178">
        <f t="shared" si="169"/>
        <v>0.11191080107954472</v>
      </c>
      <c r="N488" s="403">
        <f t="shared" si="177"/>
        <v>0</v>
      </c>
      <c r="O488" s="177">
        <f t="shared" si="182"/>
        <v>0.0021030367376438787</v>
      </c>
      <c r="P488" s="174">
        <f t="shared" si="186"/>
        <v>0.0024932344088813797</v>
      </c>
      <c r="Q488" s="179">
        <f t="shared" si="170"/>
        <v>0.0037622520122086224</v>
      </c>
      <c r="R488" s="179">
        <f t="shared" si="171"/>
        <v>0.010697373720609318</v>
      </c>
      <c r="S488" s="180">
        <f t="shared" si="172"/>
        <v>0.351698660855454</v>
      </c>
      <c r="T488" s="179">
        <f t="shared" si="173"/>
        <v>0.9893026262793906</v>
      </c>
      <c r="U488" s="181">
        <f t="shared" si="174"/>
        <v>0.3762252012208622</v>
      </c>
      <c r="V488">
        <f>IF(ISNUMBER('Set-up'!C543)=FALSE,"",('Set-up'!C543-'EPP model'!U488)^2)</f>
      </c>
    </row>
    <row r="489" spans="1:22" ht="12.75">
      <c r="A489" s="91">
        <f t="shared" si="183"/>
        <v>2028.5999999999558</v>
      </c>
      <c r="B489" s="171">
        <f t="shared" si="178"/>
        <v>26.62197456910917</v>
      </c>
      <c r="C489" s="171">
        <f t="shared" si="179"/>
        <v>0.18723429719001933</v>
      </c>
      <c r="D489" s="172">
        <f t="shared" si="180"/>
        <v>0.10063008315266746</v>
      </c>
      <c r="E489" s="171">
        <f t="shared" si="167"/>
        <v>26.909838949451856</v>
      </c>
      <c r="F489" s="171"/>
      <c r="G489" s="171">
        <f t="shared" si="175"/>
        <v>0.0803944893534349</v>
      </c>
      <c r="H489" s="171">
        <f t="shared" si="176"/>
        <v>0.08025739869679013</v>
      </c>
      <c r="I489" s="91">
        <f t="shared" si="184"/>
        <v>0.05862768933733185</v>
      </c>
      <c r="J489" s="91">
        <f t="shared" si="185"/>
        <v>29.745695056150083</v>
      </c>
      <c r="K489" s="172">
        <f t="shared" si="181"/>
        <v>0.052765204049673234</v>
      </c>
      <c r="L489" s="177">
        <f t="shared" si="168"/>
        <v>24.882512291736713</v>
      </c>
      <c r="M489" s="178">
        <f t="shared" si="169"/>
        <v>0.11123484508981965</v>
      </c>
      <c r="N489" s="403">
        <f t="shared" si="177"/>
        <v>0</v>
      </c>
      <c r="O489" s="177">
        <f t="shared" si="182"/>
        <v>0.0020929137917724354</v>
      </c>
      <c r="P489" s="174">
        <f t="shared" si="186"/>
        <v>0.0024882512291736713</v>
      </c>
      <c r="Q489" s="179">
        <f t="shared" si="170"/>
        <v>0.0037395275141443108</v>
      </c>
      <c r="R489" s="179">
        <f t="shared" si="171"/>
        <v>0.010697365409113698</v>
      </c>
      <c r="S489" s="180">
        <f t="shared" si="172"/>
        <v>0.3495746261933236</v>
      </c>
      <c r="T489" s="179">
        <f t="shared" si="173"/>
        <v>0.9893026345908863</v>
      </c>
      <c r="U489" s="181">
        <f t="shared" si="174"/>
        <v>0.3739527514144311</v>
      </c>
      <c r="V489">
        <f>IF(ISNUMBER('Set-up'!C544)=FALSE,"",('Set-up'!C544-'EPP model'!U489)^2)</f>
      </c>
    </row>
    <row r="490" spans="1:22" ht="12.75">
      <c r="A490" s="91">
        <f t="shared" si="183"/>
        <v>2028.6999999999557</v>
      </c>
      <c r="B490" s="171">
        <f t="shared" si="178"/>
        <v>26.565997233179672</v>
      </c>
      <c r="C490" s="171">
        <f t="shared" si="179"/>
        <v>0.18745542016872838</v>
      </c>
      <c r="D490" s="172">
        <f t="shared" si="180"/>
        <v>0.09980346055553903</v>
      </c>
      <c r="E490" s="171">
        <f t="shared" si="167"/>
        <v>26.85325611390394</v>
      </c>
      <c r="F490" s="171"/>
      <c r="G490" s="171">
        <f t="shared" si="175"/>
        <v>0.08022544530309372</v>
      </c>
      <c r="H490" s="171">
        <f t="shared" si="176"/>
        <v>0.08008948077326002</v>
      </c>
      <c r="I490" s="91">
        <f t="shared" si="184"/>
        <v>0.05850498092189501</v>
      </c>
      <c r="J490" s="91">
        <f t="shared" si="185"/>
        <v>29.745695056150083</v>
      </c>
      <c r="K490" s="172">
        <f t="shared" si="181"/>
        <v>0.05276935837586727</v>
      </c>
      <c r="L490" s="177">
        <f t="shared" si="168"/>
        <v>24.83264243265738</v>
      </c>
      <c r="M490" s="178">
        <f t="shared" si="169"/>
        <v>0.11055356902124197</v>
      </c>
      <c r="N490" s="403">
        <f t="shared" si="177"/>
        <v>0</v>
      </c>
      <c r="O490" s="177">
        <f t="shared" si="182"/>
        <v>0.0020826978043433056</v>
      </c>
      <c r="P490" s="174">
        <f t="shared" si="186"/>
        <v>0.002483264243265738</v>
      </c>
      <c r="Q490" s="179">
        <f t="shared" si="170"/>
        <v>0.003716624164019473</v>
      </c>
      <c r="R490" s="179">
        <f t="shared" si="171"/>
        <v>0.010697357501295048</v>
      </c>
      <c r="S490" s="180">
        <f t="shared" si="172"/>
        <v>0.34743385584426145</v>
      </c>
      <c r="T490" s="179">
        <f t="shared" si="173"/>
        <v>0.989302642498705</v>
      </c>
      <c r="U490" s="181">
        <f t="shared" si="174"/>
        <v>0.3716624164019473</v>
      </c>
      <c r="V490">
        <f>IF(ISNUMBER('Set-up'!C545)=FALSE,"",('Set-up'!C545-'EPP model'!U490)^2)</f>
      </c>
    </row>
    <row r="491" spans="1:22" ht="12.75">
      <c r="A491" s="91">
        <f t="shared" si="183"/>
        <v>2028.7999999999556</v>
      </c>
      <c r="B491" s="171">
        <f t="shared" si="178"/>
        <v>26.510137899384823</v>
      </c>
      <c r="C491" s="171">
        <f t="shared" si="179"/>
        <v>0.18767969795285833</v>
      </c>
      <c r="D491" s="172">
        <f t="shared" si="180"/>
        <v>0.0989749725724166</v>
      </c>
      <c r="E491" s="171">
        <f t="shared" si="167"/>
        <v>26.7967925699101</v>
      </c>
      <c r="F491" s="171"/>
      <c r="G491" s="171">
        <f t="shared" si="175"/>
        <v>0.08005675764223492</v>
      </c>
      <c r="H491" s="171">
        <f t="shared" si="176"/>
        <v>0.07992192178047015</v>
      </c>
      <c r="I491" s="91">
        <f t="shared" si="184"/>
        <v>0.0583825244044712</v>
      </c>
      <c r="J491" s="91">
        <f t="shared" si="185"/>
        <v>29.745695056150083</v>
      </c>
      <c r="K491" s="172">
        <f t="shared" si="181"/>
        <v>0.0527733112193389</v>
      </c>
      <c r="L491" s="177">
        <f t="shared" si="168"/>
        <v>24.78271752246662</v>
      </c>
      <c r="M491" s="178">
        <f t="shared" si="169"/>
        <v>0.10986685606678932</v>
      </c>
      <c r="N491" s="403">
        <f t="shared" si="177"/>
        <v>0</v>
      </c>
      <c r="O491" s="177">
        <f t="shared" si="182"/>
        <v>0.002072386573202943</v>
      </c>
      <c r="P491" s="174">
        <f t="shared" si="186"/>
        <v>0.002478271752246662</v>
      </c>
      <c r="Q491" s="179">
        <f t="shared" si="170"/>
        <v>0.0036935380349794097</v>
      </c>
      <c r="R491" s="179">
        <f t="shared" si="171"/>
        <v>0.01069735005700485</v>
      </c>
      <c r="S491" s="180">
        <f t="shared" si="172"/>
        <v>0.34527598099501317</v>
      </c>
      <c r="T491" s="179">
        <f t="shared" si="173"/>
        <v>0.9893026499429951</v>
      </c>
      <c r="U491" s="181">
        <f t="shared" si="174"/>
        <v>0.36935380349794095</v>
      </c>
      <c r="V491">
        <f>IF(ISNUMBER('Set-up'!C546)=FALSE,"",('Set-up'!C546-'EPP model'!U491)^2)</f>
      </c>
    </row>
    <row r="492" spans="1:22" ht="12.75">
      <c r="A492" s="91">
        <f t="shared" si="183"/>
        <v>2028.8999999999555</v>
      </c>
      <c r="B492" s="171">
        <f t="shared" si="178"/>
        <v>26.454396326439092</v>
      </c>
      <c r="C492" s="171">
        <f t="shared" si="179"/>
        <v>0.1879072136574008</v>
      </c>
      <c r="D492" s="172">
        <f t="shared" si="180"/>
        <v>0.0981445350078982</v>
      </c>
      <c r="E492" s="171">
        <f t="shared" si="167"/>
        <v>26.74044807510439</v>
      </c>
      <c r="F492" s="171"/>
      <c r="G492" s="171">
        <f t="shared" si="175"/>
        <v>0.07988842564677813</v>
      </c>
      <c r="H492" s="171">
        <f t="shared" si="176"/>
        <v>0.07975472110904147</v>
      </c>
      <c r="I492" s="91">
        <f t="shared" si="184"/>
        <v>0.058260319170862676</v>
      </c>
      <c r="J492" s="91">
        <f t="shared" si="185"/>
        <v>29.745695056150083</v>
      </c>
      <c r="K492" s="172">
        <f t="shared" si="181"/>
        <v>0.05277703261645719</v>
      </c>
      <c r="L492" s="177">
        <f t="shared" si="168"/>
        <v>24.73272081187308</v>
      </c>
      <c r="M492" s="178">
        <f t="shared" si="169"/>
        <v>0.10917458830806034</v>
      </c>
      <c r="N492" s="403">
        <f t="shared" si="177"/>
        <v>0</v>
      </c>
      <c r="O492" s="177">
        <f t="shared" si="182"/>
        <v>0.0020619778361645183</v>
      </c>
      <c r="P492" s="174">
        <f t="shared" si="186"/>
        <v>0.002473272081187308</v>
      </c>
      <c r="Q492" s="179">
        <f t="shared" si="170"/>
        <v>0.0036702651628067406</v>
      </c>
      <c r="R492" s="179">
        <f t="shared" si="171"/>
        <v>0.010697343135832338</v>
      </c>
      <c r="S492" s="180">
        <f t="shared" si="172"/>
        <v>0.34310062939952285</v>
      </c>
      <c r="T492" s="179">
        <f t="shared" si="173"/>
        <v>0.9893026568641677</v>
      </c>
      <c r="U492" s="181">
        <f t="shared" si="174"/>
        <v>0.36702651628067406</v>
      </c>
      <c r="V492">
        <f>IF(ISNUMBER('Set-up'!C547)=FALSE,"",('Set-up'!C547-'EPP model'!U492)^2)</f>
      </c>
    </row>
    <row r="493" spans="1:22" ht="12.75">
      <c r="A493" s="91">
        <f t="shared" si="183"/>
        <v>2028.9999999999554</v>
      </c>
      <c r="B493" s="171">
        <f t="shared" si="178"/>
        <v>26.39877227514255</v>
      </c>
      <c r="C493" s="171">
        <f t="shared" si="179"/>
        <v>0.18813805069481115</v>
      </c>
      <c r="D493" s="172">
        <f t="shared" si="180"/>
        <v>0.09731206336970019</v>
      </c>
      <c r="E493" s="171">
        <f t="shared" si="167"/>
        <v>26.68422238920706</v>
      </c>
      <c r="F493" s="171"/>
      <c r="G493" s="171">
        <f t="shared" si="175"/>
        <v>0.07972044859887556</v>
      </c>
      <c r="H493" s="171">
        <f t="shared" si="176"/>
        <v>0.07958787815623199</v>
      </c>
      <c r="I493" s="91">
        <f t="shared" si="184"/>
        <v>0.05813836461818754</v>
      </c>
      <c r="J493" s="91">
        <f t="shared" si="185"/>
        <v>29.745695056150083</v>
      </c>
      <c r="K493" s="172">
        <f t="shared" si="181"/>
        <v>0.05278049272970334</v>
      </c>
      <c r="L493" s="177">
        <f t="shared" si="168"/>
        <v>24.68263580666696</v>
      </c>
      <c r="M493" s="178">
        <f t="shared" si="169"/>
        <v>0.10847664661386709</v>
      </c>
      <c r="N493" s="403">
        <f t="shared" si="177"/>
        <v>0</v>
      </c>
      <c r="O493" s="177">
        <f t="shared" si="182"/>
        <v>0.0020514692691161467</v>
      </c>
      <c r="P493" s="174">
        <f t="shared" si="186"/>
        <v>0.0024682635806666958</v>
      </c>
      <c r="Q493" s="179">
        <f t="shared" si="170"/>
        <v>0.0036468015425122485</v>
      </c>
      <c r="R493" s="179">
        <f t="shared" si="171"/>
        <v>0.0106973367970418</v>
      </c>
      <c r="S493" s="180">
        <f t="shared" si="172"/>
        <v>0.340907425063098</v>
      </c>
      <c r="T493" s="179">
        <f t="shared" si="173"/>
        <v>0.9893026632029582</v>
      </c>
      <c r="U493" s="181">
        <f t="shared" si="174"/>
        <v>0.36468015425122485</v>
      </c>
      <c r="V493">
        <f>IF(ISNUMBER('Set-up'!$N$56)=FALSE,"",('Set-up'!$N$56-'EPP model'!U493)^2)</f>
      </c>
    </row>
    <row r="494" spans="1:22" ht="12.75">
      <c r="A494" s="91">
        <f t="shared" si="183"/>
        <v>2029.0999999999553</v>
      </c>
      <c r="B494" s="171">
        <f t="shared" si="178"/>
        <v>26.3432655083617</v>
      </c>
      <c r="C494" s="171">
        <f t="shared" si="179"/>
        <v>0.18837229286178245</v>
      </c>
      <c r="D494" s="172">
        <f t="shared" si="180"/>
        <v>0.09647747278042973</v>
      </c>
      <c r="E494" s="171">
        <f t="shared" si="167"/>
        <v>26.62811527400391</v>
      </c>
      <c r="F494" s="171"/>
      <c r="G494" s="171">
        <f t="shared" si="175"/>
        <v>0.0795528257868504</v>
      </c>
      <c r="H494" s="171">
        <f t="shared" si="176"/>
        <v>0.07942139232599524</v>
      </c>
      <c r="I494" s="91">
        <f t="shared" si="184"/>
        <v>0.05801666015717208</v>
      </c>
      <c r="J494" s="91">
        <f t="shared" si="185"/>
        <v>29.745695056150083</v>
      </c>
      <c r="K494" s="172">
        <f t="shared" si="181"/>
        <v>0.0527836618796134</v>
      </c>
      <c r="L494" s="177">
        <f t="shared" si="168"/>
        <v>24.63244473682757</v>
      </c>
      <c r="M494" s="178">
        <f t="shared" si="169"/>
        <v>0.1077729105340158</v>
      </c>
      <c r="N494" s="403">
        <f t="shared" si="177"/>
        <v>0</v>
      </c>
      <c r="O494" s="177">
        <f t="shared" si="182"/>
        <v>0.002040858483984284</v>
      </c>
      <c r="P494" s="174">
        <f t="shared" si="186"/>
        <v>0.002463244473682757</v>
      </c>
      <c r="Q494" s="179">
        <f t="shared" si="170"/>
        <v>0.00362314312476397</v>
      </c>
      <c r="R494" s="179">
        <f t="shared" si="171"/>
        <v>0.010697331099520249</v>
      </c>
      <c r="S494" s="180">
        <f t="shared" si="172"/>
        <v>0.3386959879110837</v>
      </c>
      <c r="T494" s="179">
        <f t="shared" si="173"/>
        <v>0.9893026689004798</v>
      </c>
      <c r="U494" s="181">
        <f t="shared" si="174"/>
        <v>0.362314312476397</v>
      </c>
      <c r="V494">
        <f>IF(ISNUMBER('Set-up'!C549)=FALSE,"",('Set-up'!C549-'EPP model'!U494)^2)</f>
      </c>
    </row>
    <row r="495" spans="1:22" ht="12.75">
      <c r="A495" s="91">
        <f t="shared" si="183"/>
        <v>2029.1999999999553</v>
      </c>
      <c r="B495" s="171">
        <f t="shared" si="178"/>
        <v>26.287875791004687</v>
      </c>
      <c r="C495" s="171">
        <f t="shared" si="179"/>
        <v>0.18861002442906488</v>
      </c>
      <c r="D495" s="172">
        <f t="shared" si="180"/>
        <v>0.09564067804064989</v>
      </c>
      <c r="E495" s="171">
        <f t="shared" si="167"/>
        <v>26.5721264934744</v>
      </c>
      <c r="F495" s="171"/>
      <c r="G495" s="171">
        <f t="shared" si="175"/>
        <v>0.07938555650557945</v>
      </c>
      <c r="H495" s="171">
        <f t="shared" si="176"/>
        <v>0.07925526302927721</v>
      </c>
      <c r="I495" s="91">
        <f t="shared" si="184"/>
        <v>0.05789520520771269</v>
      </c>
      <c r="J495" s="91">
        <f t="shared" si="185"/>
        <v>29.745695056150083</v>
      </c>
      <c r="K495" s="172">
        <f t="shared" si="181"/>
        <v>0.052786510573216004</v>
      </c>
      <c r="L495" s="177">
        <f t="shared" si="168"/>
        <v>24.58213398909173</v>
      </c>
      <c r="M495" s="178">
        <f t="shared" si="169"/>
        <v>0.10706325836057018</v>
      </c>
      <c r="N495" s="403">
        <f t="shared" si="177"/>
        <v>0</v>
      </c>
      <c r="O495" s="177">
        <f t="shared" si="182"/>
        <v>0.00203014302656803</v>
      </c>
      <c r="P495" s="174">
        <f t="shared" si="186"/>
        <v>0.002458213398909173</v>
      </c>
      <c r="Q495" s="179">
        <f t="shared" si="170"/>
        <v>0.0035992858179467644</v>
      </c>
      <c r="R495" s="179">
        <f t="shared" si="171"/>
        <v>0.010697326107472854</v>
      </c>
      <c r="S495" s="180">
        <f t="shared" si="172"/>
        <v>0.3364659338030654</v>
      </c>
      <c r="T495" s="179">
        <f t="shared" si="173"/>
        <v>0.9893026738925272</v>
      </c>
      <c r="U495" s="181">
        <f t="shared" si="174"/>
        <v>0.35992858179467646</v>
      </c>
      <c r="V495">
        <f>IF(ISNUMBER('Set-up'!C550)=FALSE,"",('Set-up'!C550-'EPP model'!U495)^2)</f>
      </c>
    </row>
    <row r="496" spans="1:22" ht="12.75">
      <c r="A496" s="91">
        <f t="shared" si="183"/>
        <v>2029.2999999999552</v>
      </c>
      <c r="B496" s="171">
        <f t="shared" si="178"/>
        <v>26.23260289016326</v>
      </c>
      <c r="C496" s="171">
        <f t="shared" si="179"/>
        <v>0.18885133006542773</v>
      </c>
      <c r="D496" s="172">
        <f t="shared" si="180"/>
        <v>0.09480159314936926</v>
      </c>
      <c r="E496" s="171">
        <f t="shared" si="167"/>
        <v>26.51625581337806</v>
      </c>
      <c r="F496" s="171"/>
      <c r="G496" s="171">
        <f t="shared" si="175"/>
        <v>0.07921864005525764</v>
      </c>
      <c r="H496" s="171">
        <f t="shared" si="176"/>
        <v>0.07908948968343392</v>
      </c>
      <c r="I496" s="91">
        <f t="shared" si="184"/>
        <v>0.0577739992009579</v>
      </c>
      <c r="J496" s="91">
        <f t="shared" si="185"/>
        <v>29.745695056150083</v>
      </c>
      <c r="K496" s="172">
        <f t="shared" si="181"/>
        <v>0.05278900665739809</v>
      </c>
      <c r="L496" s="177">
        <f t="shared" si="168"/>
        <v>24.531687649337442</v>
      </c>
      <c r="M496" s="178">
        <f t="shared" si="169"/>
        <v>0.1063475665835001</v>
      </c>
      <c r="N496" s="403">
        <f t="shared" si="177"/>
        <v>0</v>
      </c>
      <c r="O496" s="177">
        <f t="shared" si="182"/>
        <v>0.002019320377484243</v>
      </c>
      <c r="P496" s="174">
        <f t="shared" si="186"/>
        <v>0.0024531687649337443</v>
      </c>
      <c r="Q496" s="179">
        <f t="shared" si="170"/>
        <v>0.0035752254698621392</v>
      </c>
      <c r="R496" s="179">
        <f t="shared" si="171"/>
        <v>0.010697321869692009</v>
      </c>
      <c r="S496" s="180">
        <f t="shared" si="172"/>
        <v>0.3342168734766766</v>
      </c>
      <c r="T496" s="179">
        <f t="shared" si="173"/>
        <v>0.9893026781303079</v>
      </c>
      <c r="U496" s="181">
        <f t="shared" si="174"/>
        <v>0.35752254698621394</v>
      </c>
      <c r="V496">
        <f>IF(ISNUMBER('Set-up'!C551)=FALSE,"",('Set-up'!C551-'EPP model'!U496)^2)</f>
      </c>
    </row>
    <row r="497" spans="1:22" ht="12.75">
      <c r="A497" s="91">
        <f t="shared" si="183"/>
        <v>2029.399999999955</v>
      </c>
      <c r="B497" s="171">
        <f t="shared" si="178"/>
        <v>26.177446574654745</v>
      </c>
      <c r="C497" s="171">
        <f t="shared" si="179"/>
        <v>0.18909629537351152</v>
      </c>
      <c r="D497" s="172">
        <f t="shared" si="180"/>
        <v>0.09396013145998348</v>
      </c>
      <c r="E497" s="171">
        <f t="shared" si="167"/>
        <v>26.460503001488238</v>
      </c>
      <c r="F497" s="171"/>
      <c r="G497" s="171">
        <f t="shared" si="175"/>
        <v>0.0790520757420962</v>
      </c>
      <c r="H497" s="171">
        <f t="shared" si="176"/>
        <v>0.07892407171271726</v>
      </c>
      <c r="I497" s="91">
        <f t="shared" si="184"/>
        <v>0.05765304157918924</v>
      </c>
      <c r="J497" s="91">
        <f t="shared" si="185"/>
        <v>29.745695056150083</v>
      </c>
      <c r="K497" s="172">
        <f t="shared" si="181"/>
        <v>0.052791125686529716</v>
      </c>
      <c r="L497" s="177">
        <f t="shared" si="168"/>
        <v>24.48109021765798</v>
      </c>
      <c r="M497" s="178">
        <f t="shared" si="169"/>
        <v>0.1056257100512128</v>
      </c>
      <c r="N497" s="403">
        <f t="shared" si="177"/>
        <v>0</v>
      </c>
      <c r="O497" s="177">
        <f t="shared" si="182"/>
        <v>0.002008387939851563</v>
      </c>
      <c r="P497" s="174">
        <f t="shared" si="186"/>
        <v>0.002448109021765798</v>
      </c>
      <c r="Q497" s="179">
        <f t="shared" si="170"/>
        <v>0.0035509578731250427</v>
      </c>
      <c r="R497" s="179">
        <f t="shared" si="171"/>
        <v>0.010697318445442056</v>
      </c>
      <c r="S497" s="180">
        <f t="shared" si="172"/>
        <v>0.33194841223391314</v>
      </c>
      <c r="T497" s="179">
        <f t="shared" si="173"/>
        <v>0.989302681554558</v>
      </c>
      <c r="U497" s="181">
        <f t="shared" si="174"/>
        <v>0.3550957873125043</v>
      </c>
      <c r="V497">
        <f>IF(ISNUMBER('Set-up'!C552)=FALSE,"",('Set-up'!C552-'EPP model'!U497)^2)</f>
      </c>
    </row>
    <row r="498" spans="1:22" ht="12.75">
      <c r="A498" s="91">
        <f t="shared" si="183"/>
        <v>2029.499999999955</v>
      </c>
      <c r="B498" s="171">
        <f t="shared" si="178"/>
        <v>26.122406615314983</v>
      </c>
      <c r="C498" s="171">
        <f t="shared" si="179"/>
        <v>0.18934500666683068</v>
      </c>
      <c r="D498" s="172">
        <f t="shared" si="180"/>
        <v>0.09311620557145477</v>
      </c>
      <c r="E498" s="171">
        <f t="shared" si="167"/>
        <v>26.404867827553268</v>
      </c>
      <c r="F498" s="171"/>
      <c r="G498" s="171">
        <f t="shared" si="175"/>
        <v>0.07888586287820677</v>
      </c>
      <c r="H498" s="171">
        <f t="shared" si="176"/>
        <v>0.07875900854830731</v>
      </c>
      <c r="I498" s="91">
        <f t="shared" si="184"/>
        <v>0.0575323317956647</v>
      </c>
      <c r="J498" s="91">
        <f t="shared" si="185"/>
        <v>29.745695056150083</v>
      </c>
      <c r="K498" s="172">
        <f t="shared" si="181"/>
        <v>0.05279283798240074</v>
      </c>
      <c r="L498" s="177">
        <f t="shared" si="168"/>
        <v>24.430326594041013</v>
      </c>
      <c r="M498" s="178">
        <f t="shared" si="169"/>
        <v>0.10489756183607957</v>
      </c>
      <c r="N498" s="403">
        <f t="shared" si="177"/>
        <v>0</v>
      </c>
      <c r="O498" s="177">
        <f t="shared" si="182"/>
        <v>0.001997343046688102</v>
      </c>
      <c r="P498" s="174">
        <f t="shared" si="186"/>
        <v>0.002443032659404101</v>
      </c>
      <c r="Q498" s="179">
        <f t="shared" si="170"/>
        <v>0.0035264787606430945</v>
      </c>
      <c r="R498" s="179">
        <f t="shared" si="171"/>
        <v>0.010697315892016678</v>
      </c>
      <c r="S498" s="180">
        <f t="shared" si="172"/>
        <v>0.32966014991432363</v>
      </c>
      <c r="T498" s="179">
        <f t="shared" si="173"/>
        <v>0.9893026841079833</v>
      </c>
      <c r="U498" s="181">
        <f t="shared" si="174"/>
        <v>0.3526478760643095</v>
      </c>
      <c r="V498">
        <f>IF(ISNUMBER('Set-up'!C553)=FALSE,"",('Set-up'!C553-'EPP model'!U498)^2)</f>
      </c>
    </row>
    <row r="499" spans="1:22" ht="12.75">
      <c r="A499" s="91">
        <f t="shared" si="183"/>
        <v>2029.599999999955</v>
      </c>
      <c r="B499" s="171">
        <f t="shared" si="178"/>
        <v>26.067482784929492</v>
      </c>
      <c r="C499" s="171">
        <f t="shared" si="179"/>
        <v>0.18959755111441642</v>
      </c>
      <c r="D499" s="172">
        <f t="shared" si="180"/>
        <v>0.09226972721498586</v>
      </c>
      <c r="E499" s="171">
        <f t="shared" si="167"/>
        <v>26.349350063258896</v>
      </c>
      <c r="F499" s="171"/>
      <c r="G499" s="171">
        <f t="shared" si="175"/>
        <v>0.07872000078148912</v>
      </c>
      <c r="H499" s="171">
        <f t="shared" si="176"/>
        <v>0.07859429962835437</v>
      </c>
      <c r="I499" s="91">
        <f t="shared" si="184"/>
        <v>0.057411869314367786</v>
      </c>
      <c r="J499" s="91">
        <f t="shared" si="185"/>
        <v>29.745695056150083</v>
      </c>
      <c r="K499" s="172">
        <f t="shared" si="181"/>
        <v>0.05279411485653615</v>
      </c>
      <c r="L499" s="177">
        <f t="shared" si="168"/>
        <v>24.379382045614843</v>
      </c>
      <c r="M499" s="178">
        <f t="shared" si="169"/>
        <v>0.10416299309325981</v>
      </c>
      <c r="N499" s="403">
        <f t="shared" si="177"/>
        <v>0</v>
      </c>
      <c r="O499" s="177">
        <f t="shared" si="182"/>
        <v>0.0019861829545186767</v>
      </c>
      <c r="P499" s="174">
        <f t="shared" si="186"/>
        <v>0.0024379382045614842</v>
      </c>
      <c r="Q499" s="179">
        <f t="shared" si="170"/>
        <v>0.0035017838008704915</v>
      </c>
      <c r="R499" s="179">
        <f t="shared" si="171"/>
        <v>0.010697314265919348</v>
      </c>
      <c r="S499" s="180">
        <f t="shared" si="172"/>
        <v>0.32735168041448026</v>
      </c>
      <c r="T499" s="179">
        <f t="shared" si="173"/>
        <v>0.9893026857340805</v>
      </c>
      <c r="U499" s="181">
        <f t="shared" si="174"/>
        <v>0.35017838008704916</v>
      </c>
      <c r="V499">
        <f>IF(ISNUMBER('Set-up'!C554)=FALSE,"",('Set-up'!C554-'EPP model'!U499)^2)</f>
      </c>
    </row>
    <row r="500" spans="1:22" ht="12.75">
      <c r="A500" s="91">
        <f t="shared" si="183"/>
        <v>2029.6999999999548</v>
      </c>
      <c r="B500" s="171">
        <f t="shared" si="178"/>
        <v>26.012674858179068</v>
      </c>
      <c r="C500" s="171">
        <f t="shared" si="179"/>
        <v>0.189854016852089</v>
      </c>
      <c r="D500" s="172">
        <f t="shared" si="180"/>
        <v>0.0914206071417919</v>
      </c>
      <c r="E500" s="171">
        <f t="shared" si="167"/>
        <v>26.29394948217295</v>
      </c>
      <c r="F500" s="171"/>
      <c r="G500" s="171">
        <f t="shared" si="175"/>
        <v>0.07855448877546581</v>
      </c>
      <c r="H500" s="171">
        <f t="shared" si="176"/>
        <v>0.07842994439796669</v>
      </c>
      <c r="I500" s="91">
        <f t="shared" si="184"/>
        <v>0.0572916535887447</v>
      </c>
      <c r="J500" s="91">
        <f t="shared" si="185"/>
        <v>29.745695056150083</v>
      </c>
      <c r="K500" s="172">
        <f t="shared" si="181"/>
        <v>0.05279492802321834</v>
      </c>
      <c r="L500" s="177">
        <f t="shared" si="168"/>
        <v>24.32824217059139</v>
      </c>
      <c r="M500" s="178">
        <f t="shared" si="169"/>
        <v>0.10342187291914991</v>
      </c>
      <c r="N500" s="403">
        <f t="shared" si="177"/>
        <v>0</v>
      </c>
      <c r="O500" s="177">
        <f t="shared" si="182"/>
        <v>0.0019749048407229934</v>
      </c>
      <c r="P500" s="174">
        <f t="shared" si="186"/>
        <v>0.002432824217059139</v>
      </c>
      <c r="Q500" s="179">
        <f t="shared" si="170"/>
        <v>0.003476868593049295</v>
      </c>
      <c r="R500" s="179">
        <f t="shared" si="171"/>
        <v>0.010697313622838687</v>
      </c>
      <c r="S500" s="180">
        <f t="shared" si="172"/>
        <v>0.3250225912444229</v>
      </c>
      <c r="T500" s="179">
        <f t="shared" si="173"/>
        <v>0.9893026863771613</v>
      </c>
      <c r="U500" s="181">
        <f t="shared" si="174"/>
        <v>0.34768685930492954</v>
      </c>
      <c r="V500">
        <f>IF(ISNUMBER('Set-up'!C555)=FALSE,"",('Set-up'!C555-'EPP model'!U500)^2)</f>
      </c>
    </row>
    <row r="501" spans="1:22" ht="12.75">
      <c r="A501" s="91">
        <f t="shared" si="183"/>
        <v>2029.7999999999547</v>
      </c>
      <c r="B501" s="171">
        <f t="shared" si="178"/>
        <v>25.957982611628122</v>
      </c>
      <c r="C501" s="171">
        <f t="shared" si="179"/>
        <v>0.1901144930992863</v>
      </c>
      <c r="D501" s="172">
        <f t="shared" si="180"/>
        <v>0.09056875501181856</v>
      </c>
      <c r="E501" s="171">
        <f t="shared" si="167"/>
        <v>26.23866585973923</v>
      </c>
      <c r="F501" s="171"/>
      <c r="G501" s="171">
        <f t="shared" si="175"/>
        <v>0.07838932618926395</v>
      </c>
      <c r="H501" s="171">
        <f t="shared" si="176"/>
        <v>0.07826594230934374</v>
      </c>
      <c r="I501" s="91">
        <f t="shared" si="184"/>
        <v>0.05717168410711994</v>
      </c>
      <c r="J501" s="91">
        <f t="shared" si="185"/>
        <v>29.745695056150083</v>
      </c>
      <c r="K501" s="172">
        <f t="shared" si="181"/>
        <v>0.052795249613574506</v>
      </c>
      <c r="L501" s="177">
        <f t="shared" si="168"/>
        <v>24.27689292244608</v>
      </c>
      <c r="M501" s="178">
        <f t="shared" si="169"/>
        <v>0.10267406820902647</v>
      </c>
      <c r="N501" s="403">
        <f t="shared" si="177"/>
        <v>0</v>
      </c>
      <c r="O501" s="177">
        <f t="shared" si="182"/>
        <v>0.001963505800406689</v>
      </c>
      <c r="P501" s="174">
        <f t="shared" si="186"/>
        <v>0.002427689292244608</v>
      </c>
      <c r="Q501" s="179">
        <f t="shared" si="170"/>
        <v>0.003451728662423642</v>
      </c>
      <c r="R501" s="179">
        <f t="shared" si="171"/>
        <v>0.010697314017851303</v>
      </c>
      <c r="S501" s="180">
        <f t="shared" si="172"/>
        <v>0.3226724630747044</v>
      </c>
      <c r="T501" s="179">
        <f t="shared" si="173"/>
        <v>0.9893026859821487</v>
      </c>
      <c r="U501" s="181">
        <f t="shared" si="174"/>
        <v>0.3451728662423642</v>
      </c>
      <c r="V501">
        <f>IF(ISNUMBER('Set-up'!C556)=FALSE,"",('Set-up'!C556-'EPP model'!U501)^2)</f>
      </c>
    </row>
    <row r="502" spans="1:22" ht="12.75">
      <c r="A502" s="91">
        <f t="shared" si="183"/>
        <v>2029.8999999999546</v>
      </c>
      <c r="B502" s="171">
        <f t="shared" si="178"/>
        <v>25.903405823694243</v>
      </c>
      <c r="C502" s="171">
        <f t="shared" si="179"/>
        <v>0.1903790702712423</v>
      </c>
      <c r="D502" s="172">
        <f t="shared" si="180"/>
        <v>0.08971407927730661</v>
      </c>
      <c r="E502" s="171">
        <f>B502+C502+D502</f>
        <v>26.18349897324279</v>
      </c>
      <c r="F502" s="171"/>
      <c r="G502" s="171">
        <f t="shared" si="175"/>
        <v>0.07822451235751152</v>
      </c>
      <c r="H502" s="171">
        <f t="shared" si="176"/>
        <v>0.07810229282183104</v>
      </c>
      <c r="I502" s="91">
        <f t="shared" si="184"/>
        <v>0.05705196036649324</v>
      </c>
      <c r="J502" s="91">
        <f t="shared" si="185"/>
        <v>29.745695056150083</v>
      </c>
      <c r="K502" s="172">
        <f t="shared" si="181"/>
        <v>0.05279505207632849</v>
      </c>
      <c r="L502" s="177">
        <f>phi*P502</f>
        <v>24.225320600013777</v>
      </c>
      <c r="M502" s="178">
        <f>MIN(1,J502*D502/E502)</f>
        <v>0.10191944350726828</v>
      </c>
      <c r="N502" s="403">
        <f t="shared" si="177"/>
        <v>0</v>
      </c>
      <c r="O502" s="177">
        <f t="shared" si="182"/>
        <v>0.0019519828432000613</v>
      </c>
      <c r="P502" s="174">
        <f t="shared" si="186"/>
        <v>0.002422532060001378</v>
      </c>
      <c r="Q502" s="179">
        <f>D502/E502</f>
        <v>0.003426359455204456</v>
      </c>
      <c r="R502" s="179">
        <f>(C502+D502)/E502</f>
        <v>0.010697315505264565</v>
      </c>
      <c r="S502" s="180">
        <f>D502/(C502+D502)</f>
        <v>0.3203008692711935</v>
      </c>
      <c r="T502" s="179">
        <f>B502/E502</f>
        <v>0.9893026844947355</v>
      </c>
      <c r="U502" s="181">
        <f>Q502*100</f>
        <v>0.34263594552044563</v>
      </c>
      <c r="V502">
        <f>IF(ISNUMBER('Set-up'!C557)=FALSE,"",('Set-up'!C557-'EPP model'!U502)^2)</f>
      </c>
    </row>
    <row r="503" spans="1:23" ht="12.75">
      <c r="A503" s="91">
        <f t="shared" si="183"/>
        <v>2029.9999999999545</v>
      </c>
      <c r="B503" s="171">
        <f t="shared" si="178"/>
        <v>25.84894427461385</v>
      </c>
      <c r="C503" s="171">
        <f t="shared" si="179"/>
        <v>0.19064784009863084</v>
      </c>
      <c r="D503" s="172">
        <f t="shared" si="180"/>
        <v>0.08885648706432359</v>
      </c>
      <c r="E503" s="171">
        <f>B503+C503+D503</f>
        <v>26.128448601776803</v>
      </c>
      <c r="F503" s="171"/>
      <c r="G503" s="171">
        <f t="shared" si="175"/>
        <v>0.0780600466202383</v>
      </c>
      <c r="H503" s="171">
        <f t="shared" si="176"/>
        <v>0.07793899540198268</v>
      </c>
      <c r="I503" s="91">
        <f>H353*l</f>
        <v>0.056932481872931644</v>
      </c>
      <c r="J503" s="91">
        <f t="shared" si="185"/>
        <v>29.745695056150083</v>
      </c>
      <c r="K503" s="172">
        <f t="shared" si="181"/>
        <v>0.052794308259635145</v>
      </c>
      <c r="L503" s="177">
        <f>phi*P503</f>
        <v>24.17351184866473</v>
      </c>
      <c r="M503" s="178">
        <f>MIN(1,J503*D503/E503)</f>
        <v>0.1011578608534904</v>
      </c>
      <c r="N503" s="403">
        <f t="shared" si="177"/>
        <v>0</v>
      </c>
      <c r="O503" s="177">
        <f t="shared" si="182"/>
        <v>0.0019403328897476136</v>
      </c>
      <c r="P503" s="174">
        <f>O492*$Y$6+O481*$Y$7+O470*$Y$8+O459*$Y$9+O448*$Y$10+O437*$Y$11+O426*$Y$12+O415*$Y$13+O404*$Y$14+O393*$Y$15+O382*$Y$16+O371*$Y$17+O360*$Y$18+O349*$Y$19+O338*$N$20</f>
        <v>0.002417351184866473</v>
      </c>
      <c r="Q503" s="179">
        <f>D503/E503</f>
        <v>0.0034007563333967373</v>
      </c>
      <c r="R503" s="179">
        <f>(C503+D503)/E503</f>
        <v>0.010697318138664666</v>
      </c>
      <c r="S503" s="180">
        <f>D503/(C503+D503)</f>
        <v>0.3179073754107541</v>
      </c>
      <c r="T503" s="179">
        <f>B503/E503</f>
        <v>0.9893026818613354</v>
      </c>
      <c r="U503" s="181">
        <f>Q503*100</f>
        <v>0.3400756333396737</v>
      </c>
      <c r="V503">
        <f>IF(ISNUMBER('Set-up'!$N$57)=FALSE,"",('Set-up'!$N$57-'EPP model'!U503)^2)</f>
        <v>0.0266448415745679</v>
      </c>
      <c r="W503">
        <f>IF(ISNUMBER('Set-up'!$N$57)=FALSE,NA()=FALSE,'Set-up'!$N$57)</f>
        <v>0.5033081104224157</v>
      </c>
    </row>
    <row r="504" ht="12.75">
      <c r="V504">
        <f>SUM(V3:V503)</f>
        <v>0.04656433167723288</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13"/>
  <dimension ref="A1:B9"/>
  <sheetViews>
    <sheetView workbookViewId="0" topLeftCell="A1">
      <selection activeCell="B5" sqref="B5"/>
    </sheetView>
  </sheetViews>
  <sheetFormatPr defaultColWidth="9.140625" defaultRowHeight="12.75"/>
  <cols>
    <col min="1" max="1" width="27.57421875" style="0" bestFit="1" customWidth="1"/>
    <col min="2" max="2" width="12.8515625" style="0" bestFit="1" customWidth="1"/>
  </cols>
  <sheetData>
    <row r="1" ht="12.75">
      <c r="A1" s="163" t="s">
        <v>120</v>
      </c>
    </row>
    <row r="2" spans="1:2" ht="12.75">
      <c r="A2" s="163" t="s">
        <v>11</v>
      </c>
      <c r="B2" t="str">
        <f>'Set-up'!B1</f>
        <v>Belize</v>
      </c>
    </row>
    <row r="3" spans="1:2" ht="12.75">
      <c r="A3" s="163" t="s">
        <v>121</v>
      </c>
      <c r="B3" s="173">
        <f>VLOOKUP($B$2,Population!$B$2:$R$214,13)</f>
        <v>77.261</v>
      </c>
    </row>
    <row r="4" spans="1:2" ht="12.75">
      <c r="A4" s="163" t="s">
        <v>101</v>
      </c>
      <c r="B4" s="190">
        <f>VLOOKUP($B$2,Population!$B$2:$R$214,17)</f>
        <v>0.041843269836043216</v>
      </c>
    </row>
    <row r="5" spans="1:2" ht="12.75">
      <c r="A5" s="163" t="s">
        <v>102</v>
      </c>
      <c r="B5" s="190">
        <f>VLOOKUP($B$2,Population!$B$2:$R$214,15)</f>
        <v>0.029875500000000003</v>
      </c>
    </row>
    <row r="6" spans="1:2" ht="12.75">
      <c r="A6" s="163" t="s">
        <v>103</v>
      </c>
      <c r="B6">
        <v>0.32</v>
      </c>
    </row>
    <row r="7" spans="1:2" ht="12.75">
      <c r="A7" s="163" t="s">
        <v>104</v>
      </c>
      <c r="B7">
        <v>0.8</v>
      </c>
    </row>
    <row r="8" spans="1:2" ht="12.75">
      <c r="A8" s="163" t="s">
        <v>105</v>
      </c>
      <c r="B8" s="190">
        <f>VLOOKUP($B$2,Population!$B$2:$R$214,14)</f>
        <v>0.012102259874598342</v>
      </c>
    </row>
    <row r="9" spans="1:2" ht="12.75">
      <c r="A9" s="163" t="s">
        <v>116</v>
      </c>
      <c r="B9" s="190">
        <f>VLOOKUP($B$2,Population!$B$2:$R$214,16)</f>
        <v>0.53331602858308</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4"/>
  <dimension ref="A1:S2414"/>
  <sheetViews>
    <sheetView workbookViewId="0" topLeftCell="A1">
      <pane xSplit="2" ySplit="1" topLeftCell="I2" activePane="bottomRight" state="frozen"/>
      <selection pane="topLeft" activeCell="A1" sqref="A1"/>
      <selection pane="topRight" activeCell="C1" sqref="C1"/>
      <selection pane="bottomLeft" activeCell="A2" sqref="A2"/>
      <selection pane="bottomRight" activeCell="R7" sqref="R7"/>
    </sheetView>
  </sheetViews>
  <sheetFormatPr defaultColWidth="9.140625" defaultRowHeight="12.75"/>
  <cols>
    <col min="1" max="1" width="4.8515625" style="0" bestFit="1" customWidth="1"/>
    <col min="2" max="2" width="25.140625" style="0" bestFit="1" customWidth="1"/>
    <col min="17" max="17" width="9.7109375" style="0" customWidth="1"/>
    <col min="18" max="18" width="15.8515625" style="0" bestFit="1" customWidth="1"/>
  </cols>
  <sheetData>
    <row r="1" spans="1:19" ht="12.75">
      <c r="A1" t="s">
        <v>285</v>
      </c>
      <c r="B1" s="183" t="s">
        <v>11</v>
      </c>
      <c r="C1" s="184">
        <v>1950</v>
      </c>
      <c r="D1" s="184">
        <v>1955</v>
      </c>
      <c r="E1" s="184">
        <v>1960</v>
      </c>
      <c r="F1" s="184">
        <v>1965</v>
      </c>
      <c r="G1" s="184">
        <v>1970</v>
      </c>
      <c r="H1" s="184">
        <v>1975</v>
      </c>
      <c r="I1" s="184">
        <v>1980</v>
      </c>
      <c r="J1" s="184">
        <v>1985</v>
      </c>
      <c r="K1" s="184">
        <v>1990</v>
      </c>
      <c r="L1" s="184">
        <v>1995</v>
      </c>
      <c r="M1" s="184">
        <v>2000</v>
      </c>
      <c r="N1" s="184">
        <f>ROUND(t0/5,0)*5</f>
        <v>1980</v>
      </c>
      <c r="O1" s="184" t="s">
        <v>286</v>
      </c>
      <c r="P1" s="184" t="s">
        <v>287</v>
      </c>
      <c r="Q1" s="184" t="s">
        <v>288</v>
      </c>
      <c r="R1" s="184" t="s">
        <v>289</v>
      </c>
      <c r="S1" s="184"/>
    </row>
    <row r="2" spans="1:19" ht="12.75">
      <c r="A2">
        <v>1</v>
      </c>
      <c r="B2" s="185" t="s">
        <v>122</v>
      </c>
      <c r="C2" s="186">
        <v>4675.152</v>
      </c>
      <c r="D2" s="187">
        <v>5163.6759999999995</v>
      </c>
      <c r="E2" s="187">
        <v>5728.174999999998</v>
      </c>
      <c r="F2" s="187">
        <v>6378.692</v>
      </c>
      <c r="G2" s="187">
        <v>7150.558999999999</v>
      </c>
      <c r="H2" s="187">
        <v>8063.342</v>
      </c>
      <c r="I2" s="187">
        <v>8455.544999999998</v>
      </c>
      <c r="J2" s="187">
        <v>7538.436</v>
      </c>
      <c r="K2" s="187">
        <v>7673.214000000001</v>
      </c>
      <c r="L2" s="187">
        <v>10729.513</v>
      </c>
      <c r="M2" s="187">
        <v>12298.95</v>
      </c>
      <c r="N2" s="187">
        <f>HLOOKUP($N$1,$C$1:$M$214,A2+1)</f>
        <v>8455.544999999998</v>
      </c>
      <c r="O2" s="189">
        <f>(N2/C2)^(1/50)-1</f>
        <v>0.011921719167216738</v>
      </c>
      <c r="P2" s="189">
        <v>0.0326495</v>
      </c>
      <c r="Q2" s="189">
        <v>0.67558</v>
      </c>
      <c r="R2" s="176">
        <v>0.03898939729689644</v>
      </c>
      <c r="S2" s="188"/>
    </row>
    <row r="3" spans="1:19" ht="12.75">
      <c r="A3">
        <v>2</v>
      </c>
      <c r="B3" s="185" t="s">
        <v>123</v>
      </c>
      <c r="C3" s="186">
        <v>128250.445</v>
      </c>
      <c r="D3" s="187">
        <v>141213.45699999997</v>
      </c>
      <c r="E3" s="187">
        <v>156302.049</v>
      </c>
      <c r="F3" s="187">
        <v>174082.22199999998</v>
      </c>
      <c r="G3" s="187">
        <v>196856.17699999994</v>
      </c>
      <c r="H3" s="187">
        <v>223560.84399999998</v>
      </c>
      <c r="I3" s="187">
        <v>257653.70900000003</v>
      </c>
      <c r="J3" s="187">
        <v>297792.199</v>
      </c>
      <c r="K3" s="187">
        <v>344106.53699999995</v>
      </c>
      <c r="L3" s="187">
        <v>396899.143</v>
      </c>
      <c r="M3" s="187">
        <v>455435.2420000001</v>
      </c>
      <c r="N3" s="187">
        <f>HLOOKUP($N$1,$C$1:$M$214,A3+1)</f>
        <v>257653.70900000003</v>
      </c>
      <c r="O3" s="189">
        <f aca="true" t="shared" si="0" ref="O3:O66">(N3/C3)^(1/50)-1</f>
        <v>0.014050422563600895</v>
      </c>
      <c r="P3" s="189">
        <v>0.0430805</v>
      </c>
      <c r="Q3" s="189">
        <v>0.7096156344217134</v>
      </c>
      <c r="R3" s="176">
        <v>0.03983612220357042</v>
      </c>
      <c r="S3" s="188"/>
    </row>
    <row r="4" spans="1:19" ht="12.75">
      <c r="A4">
        <v>3</v>
      </c>
      <c r="B4" s="185" t="s">
        <v>124</v>
      </c>
      <c r="C4" s="186">
        <v>742.18</v>
      </c>
      <c r="D4" s="187">
        <v>839.3040000000001</v>
      </c>
      <c r="E4" s="187">
        <v>948.645</v>
      </c>
      <c r="F4" s="187">
        <v>1067.044</v>
      </c>
      <c r="G4" s="187">
        <v>1230.615</v>
      </c>
      <c r="H4" s="187">
        <v>1442.411</v>
      </c>
      <c r="I4" s="187">
        <v>1713.51</v>
      </c>
      <c r="J4" s="187">
        <v>1936.91</v>
      </c>
      <c r="K4" s="187">
        <v>2211.312</v>
      </c>
      <c r="L4" s="187">
        <v>2179.803</v>
      </c>
      <c r="M4" s="187">
        <v>2195.15</v>
      </c>
      <c r="N4" s="187">
        <f aca="true" t="shared" si="1" ref="N4:N66">HLOOKUP($N$1,$C$1:$M$214,A4+1)</f>
        <v>1713.51</v>
      </c>
      <c r="O4" s="189">
        <f t="shared" si="0"/>
        <v>0.01687494765938502</v>
      </c>
      <c r="P4" s="189">
        <v>0.0111885</v>
      </c>
      <c r="Q4" s="189">
        <v>0.40838256656998617</v>
      </c>
      <c r="R4" s="176">
        <v>0.03386390311051113</v>
      </c>
      <c r="S4" s="188"/>
    </row>
    <row r="5" spans="1:19" ht="12.75">
      <c r="A5">
        <v>4</v>
      </c>
      <c r="B5" s="185" t="s">
        <v>125</v>
      </c>
      <c r="C5" s="186">
        <v>5240.098</v>
      </c>
      <c r="D5" s="187">
        <v>5700.179000000001</v>
      </c>
      <c r="E5" s="187">
        <v>6074</v>
      </c>
      <c r="F5" s="187">
        <v>6374.000999999999</v>
      </c>
      <c r="G5" s="187">
        <v>7098.525999999998</v>
      </c>
      <c r="H5" s="187">
        <v>8391.579</v>
      </c>
      <c r="I5" s="187">
        <v>10025.991</v>
      </c>
      <c r="J5" s="187">
        <v>12253.768</v>
      </c>
      <c r="K5" s="187">
        <v>14435.771000000002</v>
      </c>
      <c r="L5" s="187">
        <v>16993.746</v>
      </c>
      <c r="M5" s="187">
        <v>19737.019</v>
      </c>
      <c r="N5" s="187">
        <f t="shared" si="1"/>
        <v>10025.991</v>
      </c>
      <c r="O5" s="189">
        <f t="shared" si="0"/>
        <v>0.013061376640210565</v>
      </c>
      <c r="P5" s="189">
        <v>0.032545</v>
      </c>
      <c r="Q5" s="189">
        <v>0.6480542120280779</v>
      </c>
      <c r="R5" s="176">
        <v>0.04026321885046172</v>
      </c>
      <c r="S5" s="188"/>
    </row>
    <row r="6" spans="1:19" ht="12.75">
      <c r="A6">
        <v>5</v>
      </c>
      <c r="B6" s="185" t="s">
        <v>126</v>
      </c>
      <c r="C6" s="186">
        <v>2428.6040000000003</v>
      </c>
      <c r="D6" s="187">
        <v>2599.4330000000004</v>
      </c>
      <c r="E6" s="187">
        <v>2802.51</v>
      </c>
      <c r="F6" s="187">
        <v>2989.0279999999993</v>
      </c>
      <c r="G6" s="187">
        <v>3194.4880000000007</v>
      </c>
      <c r="H6" s="187">
        <v>3487.948</v>
      </c>
      <c r="I6" s="187">
        <v>3910.329</v>
      </c>
      <c r="J6" s="187">
        <v>4535.637000000001</v>
      </c>
      <c r="K6" s="187">
        <v>5075.279</v>
      </c>
      <c r="L6" s="187">
        <v>5930.957</v>
      </c>
      <c r="M6" s="187">
        <v>6808.889000000001</v>
      </c>
      <c r="N6" s="187">
        <f t="shared" si="1"/>
        <v>3910.329</v>
      </c>
      <c r="O6" s="189">
        <f t="shared" si="0"/>
        <v>0.009571615833499747</v>
      </c>
      <c r="P6" s="189">
        <v>0.047370999999999996</v>
      </c>
      <c r="Q6" s="189">
        <v>0.706117854417962</v>
      </c>
      <c r="R6" s="176">
        <v>0.03903341498926395</v>
      </c>
      <c r="S6" s="188"/>
    </row>
    <row r="7" spans="1:19" ht="12.75">
      <c r="A7">
        <v>6</v>
      </c>
      <c r="B7" s="185" t="s">
        <v>30</v>
      </c>
      <c r="C7" s="186">
        <v>11914.907999999998</v>
      </c>
      <c r="D7" s="187">
        <v>13104.113</v>
      </c>
      <c r="E7" s="187">
        <v>14271.391999999998</v>
      </c>
      <c r="F7" s="187">
        <v>15553.12</v>
      </c>
      <c r="G7" s="187">
        <v>16925.807</v>
      </c>
      <c r="H7" s="187">
        <v>18438.242</v>
      </c>
      <c r="I7" s="187">
        <v>19519.833</v>
      </c>
      <c r="J7" s="187">
        <v>20910.303</v>
      </c>
      <c r="K7" s="187">
        <v>22566.06</v>
      </c>
      <c r="L7" s="187">
        <v>24720.815000000002</v>
      </c>
      <c r="M7" s="187">
        <v>26766.896</v>
      </c>
      <c r="N7" s="187">
        <f t="shared" si="1"/>
        <v>19519.833</v>
      </c>
      <c r="O7" s="189">
        <f t="shared" si="0"/>
        <v>0.009921709729272976</v>
      </c>
      <c r="P7" s="189">
        <v>0.025627500000000004</v>
      </c>
      <c r="Q7" s="189">
        <v>0.8919530958306302</v>
      </c>
      <c r="R7" s="176">
        <v>0.025823474066377892</v>
      </c>
      <c r="S7" s="188"/>
    </row>
    <row r="8" spans="1:19" ht="12.75">
      <c r="A8">
        <v>7</v>
      </c>
      <c r="B8" s="185" t="s">
        <v>53</v>
      </c>
      <c r="C8" s="186">
        <v>903.3280000000002</v>
      </c>
      <c r="D8" s="187">
        <v>1061.67</v>
      </c>
      <c r="E8" s="187">
        <v>1149.685</v>
      </c>
      <c r="F8" s="187">
        <v>1285.26</v>
      </c>
      <c r="G8" s="187">
        <v>1531.756</v>
      </c>
      <c r="H8" s="187">
        <v>1855.3040000000003</v>
      </c>
      <c r="I8" s="187">
        <v>2154.818</v>
      </c>
      <c r="J8" s="187">
        <v>2332.3919999999994</v>
      </c>
      <c r="K8" s="187">
        <v>2468.15</v>
      </c>
      <c r="L8" s="187">
        <v>2685.047</v>
      </c>
      <c r="M8" s="187">
        <v>2888.764000000001</v>
      </c>
      <c r="N8" s="187">
        <f t="shared" si="1"/>
        <v>2154.818</v>
      </c>
      <c r="O8" s="189">
        <f t="shared" si="0"/>
        <v>0.017539559263317184</v>
      </c>
      <c r="P8" s="189">
        <v>0.032390999999999996</v>
      </c>
      <c r="Q8" s="189">
        <v>0.67558</v>
      </c>
      <c r="R8" s="176">
        <v>0.030308584361350453</v>
      </c>
      <c r="S8" s="188"/>
    </row>
    <row r="9" spans="1:19" ht="12.75">
      <c r="A9">
        <v>8</v>
      </c>
      <c r="B9" s="185" t="s">
        <v>10</v>
      </c>
      <c r="C9" s="186">
        <v>888671.5590000001</v>
      </c>
      <c r="D9" s="187">
        <v>954774.7540000002</v>
      </c>
      <c r="E9" s="187">
        <v>1031460.091</v>
      </c>
      <c r="F9" s="187">
        <v>1133793.46</v>
      </c>
      <c r="G9" s="187">
        <v>1283061.3649999995</v>
      </c>
      <c r="H9" s="187">
        <v>1447230.91</v>
      </c>
      <c r="I9" s="187">
        <v>1647260.7340000002</v>
      </c>
      <c r="J9" s="187">
        <v>1882919.8029999998</v>
      </c>
      <c r="K9" s="187">
        <v>2118170.4510000004</v>
      </c>
      <c r="L9" s="187">
        <v>2329989.7360000005</v>
      </c>
      <c r="M9" s="187">
        <v>2561778.785</v>
      </c>
      <c r="N9" s="187">
        <f t="shared" si="1"/>
        <v>1647260.7340000002</v>
      </c>
      <c r="O9" s="189">
        <f t="shared" si="0"/>
        <v>0.012419313219439232</v>
      </c>
      <c r="P9" s="189">
        <v>0.043219999999999995</v>
      </c>
      <c r="Q9" s="189">
        <v>0.67558</v>
      </c>
      <c r="R9" s="176">
        <v>0.03283670065666519</v>
      </c>
      <c r="S9" s="188"/>
    </row>
    <row r="10" spans="1:19" ht="12.75">
      <c r="A10">
        <v>9</v>
      </c>
      <c r="B10" s="185" t="s">
        <v>127</v>
      </c>
      <c r="C10" s="186">
        <v>6039.998</v>
      </c>
      <c r="D10" s="187">
        <v>6535.189</v>
      </c>
      <c r="E10" s="187">
        <v>7183.071</v>
      </c>
      <c r="F10" s="187">
        <v>8015.144</v>
      </c>
      <c r="G10" s="187">
        <v>8920.136999999999</v>
      </c>
      <c r="H10" s="187">
        <v>10065.908999999998</v>
      </c>
      <c r="I10" s="187">
        <v>10884.670999999998</v>
      </c>
      <c r="J10" s="187">
        <v>11950.706</v>
      </c>
      <c r="K10" s="187">
        <v>13189.528000000002</v>
      </c>
      <c r="L10" s="187">
        <v>14183.64</v>
      </c>
      <c r="M10" s="187">
        <v>15211.068000000001</v>
      </c>
      <c r="N10" s="187">
        <f t="shared" si="1"/>
        <v>10884.670999999998</v>
      </c>
      <c r="O10" s="189">
        <f t="shared" si="0"/>
        <v>0.011848681794085048</v>
      </c>
      <c r="P10" s="189">
        <v>0.015270500000000001</v>
      </c>
      <c r="Q10" s="189">
        <v>0.6924136275145599</v>
      </c>
      <c r="R10" s="176">
        <v>0.02206077015209633</v>
      </c>
      <c r="S10" s="188"/>
    </row>
    <row r="11" spans="1:19" ht="12.75">
      <c r="A11">
        <v>10</v>
      </c>
      <c r="B11" s="185" t="s">
        <v>128</v>
      </c>
      <c r="C11" s="186">
        <v>7392.998</v>
      </c>
      <c r="D11" s="187">
        <v>8004.191</v>
      </c>
      <c r="E11" s="187">
        <v>8775.069</v>
      </c>
      <c r="F11" s="187">
        <v>9786.144999999999</v>
      </c>
      <c r="G11" s="187">
        <v>10844.296000000004</v>
      </c>
      <c r="H11" s="187">
        <v>12224.218</v>
      </c>
      <c r="I11" s="187">
        <v>13165.773</v>
      </c>
      <c r="J11" s="187">
        <v>14406.76</v>
      </c>
      <c r="K11" s="187">
        <v>15764.292</v>
      </c>
      <c r="L11" s="187">
        <v>16955.113</v>
      </c>
      <c r="M11" s="187">
        <v>18121.877</v>
      </c>
      <c r="N11" s="187">
        <f t="shared" si="1"/>
        <v>13165.773</v>
      </c>
      <c r="O11" s="189">
        <f t="shared" si="0"/>
        <v>0.011608606340658634</v>
      </c>
      <c r="P11" s="189">
        <v>0.020198999999999998</v>
      </c>
      <c r="Q11" s="189">
        <v>0.9044541712369417</v>
      </c>
      <c r="R11" s="176">
        <v>0.02242314969768002</v>
      </c>
      <c r="S11" s="188"/>
    </row>
    <row r="12" spans="1:19" ht="12.75">
      <c r="A12">
        <v>11</v>
      </c>
      <c r="B12" s="185" t="s">
        <v>129</v>
      </c>
      <c r="C12" s="186">
        <v>5354.001</v>
      </c>
      <c r="D12" s="187">
        <v>5399</v>
      </c>
      <c r="E12" s="187">
        <v>5489.001</v>
      </c>
      <c r="F12" s="187">
        <v>5572.772999999999</v>
      </c>
      <c r="G12" s="187">
        <v>5647.826000000001</v>
      </c>
      <c r="H12" s="187">
        <v>5818.189</v>
      </c>
      <c r="I12" s="187">
        <v>6008.037999999999</v>
      </c>
      <c r="J12" s="187">
        <v>6192.55</v>
      </c>
      <c r="K12" s="187">
        <v>6382.198</v>
      </c>
      <c r="L12" s="187">
        <v>6634.887999999998</v>
      </c>
      <c r="M12" s="187">
        <v>6736.937999999998</v>
      </c>
      <c r="N12" s="187">
        <f t="shared" si="1"/>
        <v>6008.037999999999</v>
      </c>
      <c r="O12" s="189">
        <f t="shared" si="0"/>
        <v>0.0023077408936913457</v>
      </c>
      <c r="P12" s="189">
        <v>0.011802499999999999</v>
      </c>
      <c r="Q12" s="189">
        <v>0.7959680897627053</v>
      </c>
      <c r="R12" s="176">
        <v>0.017975689856307375</v>
      </c>
      <c r="S12" s="188"/>
    </row>
    <row r="13" spans="1:19" ht="12.75">
      <c r="A13">
        <v>12</v>
      </c>
      <c r="B13" s="185" t="s">
        <v>52</v>
      </c>
      <c r="C13" s="186">
        <v>1959.062</v>
      </c>
      <c r="D13" s="187">
        <v>2302.6</v>
      </c>
      <c r="E13" s="187">
        <v>2400.34</v>
      </c>
      <c r="F13" s="187">
        <v>2559.1930000000007</v>
      </c>
      <c r="G13" s="187">
        <v>2890.004</v>
      </c>
      <c r="H13" s="187">
        <v>3411.6049999999996</v>
      </c>
      <c r="I13" s="187">
        <v>4032.442</v>
      </c>
      <c r="J13" s="187">
        <v>4483.07</v>
      </c>
      <c r="K13" s="187">
        <v>4798.7069999999985</v>
      </c>
      <c r="L13" s="187">
        <v>5149.21</v>
      </c>
      <c r="M13" s="187">
        <v>5710.908</v>
      </c>
      <c r="N13" s="187">
        <f t="shared" si="1"/>
        <v>4032.442</v>
      </c>
      <c r="O13" s="189">
        <f t="shared" si="0"/>
        <v>0.01454286041235231</v>
      </c>
      <c r="P13" s="189">
        <v>0.020067500000000002</v>
      </c>
      <c r="Q13" s="189">
        <v>0.6242893456014977</v>
      </c>
      <c r="R13" s="176">
        <v>0.032733812781468516</v>
      </c>
      <c r="S13" s="188"/>
    </row>
    <row r="14" spans="1:19" ht="12.75">
      <c r="A14">
        <v>13</v>
      </c>
      <c r="B14" s="185" t="s">
        <v>31</v>
      </c>
      <c r="C14" s="186">
        <v>48.04699999999999</v>
      </c>
      <c r="D14" s="187">
        <v>52.957</v>
      </c>
      <c r="E14" s="187">
        <v>63.061</v>
      </c>
      <c r="F14" s="187">
        <v>78.49800000000002</v>
      </c>
      <c r="G14" s="187">
        <v>95.73400000000002</v>
      </c>
      <c r="H14" s="187">
        <v>111.03299999999999</v>
      </c>
      <c r="I14" s="187">
        <v>129.441</v>
      </c>
      <c r="J14" s="187">
        <v>150.58399999999997</v>
      </c>
      <c r="K14" s="187">
        <v>172.132</v>
      </c>
      <c r="L14" s="187">
        <v>193.845</v>
      </c>
      <c r="M14" s="187">
        <v>214.24</v>
      </c>
      <c r="N14" s="187">
        <f t="shared" si="1"/>
        <v>129.441</v>
      </c>
      <c r="O14" s="189">
        <f t="shared" si="0"/>
        <v>0.02001864812778531</v>
      </c>
      <c r="P14" s="189">
        <v>0.024336500000000004</v>
      </c>
      <c r="Q14" s="189">
        <v>0.6880778904104857</v>
      </c>
      <c r="R14" s="176">
        <v>0.034149651056687595</v>
      </c>
      <c r="S14" s="188"/>
    </row>
    <row r="15" spans="1:19" ht="12.75">
      <c r="A15">
        <v>14</v>
      </c>
      <c r="B15" s="185" t="s">
        <v>49</v>
      </c>
      <c r="C15" s="186">
        <v>66.7</v>
      </c>
      <c r="D15" s="187">
        <v>76.588</v>
      </c>
      <c r="E15" s="187">
        <v>88.87800000000003</v>
      </c>
      <c r="F15" s="187">
        <v>93.992</v>
      </c>
      <c r="G15" s="187">
        <v>118.61200000000002</v>
      </c>
      <c r="H15" s="187">
        <v>154.981</v>
      </c>
      <c r="I15" s="187">
        <v>226.74699999999993</v>
      </c>
      <c r="J15" s="187">
        <v>282.9339999999999</v>
      </c>
      <c r="K15" s="187">
        <v>334.85</v>
      </c>
      <c r="L15" s="187">
        <v>396.561</v>
      </c>
      <c r="M15" s="187">
        <v>459.338</v>
      </c>
      <c r="N15" s="187">
        <f t="shared" si="1"/>
        <v>226.74699999999993</v>
      </c>
      <c r="O15" s="189">
        <f t="shared" si="0"/>
        <v>0.02477450996521635</v>
      </c>
      <c r="P15" s="189">
        <v>0.025883500000000004</v>
      </c>
      <c r="Q15" s="189">
        <v>0.6736829218312219</v>
      </c>
      <c r="R15" s="176">
        <v>0.03359603255141667</v>
      </c>
      <c r="S15" s="188"/>
    </row>
    <row r="16" spans="1:19" ht="12.75">
      <c r="A16">
        <v>15</v>
      </c>
      <c r="B16" s="185" t="s">
        <v>21</v>
      </c>
      <c r="C16" s="186">
        <v>26063.79</v>
      </c>
      <c r="D16" s="187">
        <v>27723.126999999997</v>
      </c>
      <c r="E16" s="187">
        <v>29775.547000000002</v>
      </c>
      <c r="F16" s="187">
        <v>32174.006</v>
      </c>
      <c r="G16" s="187">
        <v>36187.93400000001</v>
      </c>
      <c r="H16" s="187">
        <v>41307.496999999996</v>
      </c>
      <c r="I16" s="187">
        <v>47706.443999999996</v>
      </c>
      <c r="J16" s="187">
        <v>55118.19200000001</v>
      </c>
      <c r="K16" s="187">
        <v>63711.72200000001</v>
      </c>
      <c r="L16" s="187">
        <v>73115.58</v>
      </c>
      <c r="M16" s="187">
        <v>84249.133</v>
      </c>
      <c r="N16" s="187">
        <f t="shared" si="1"/>
        <v>47706.443999999996</v>
      </c>
      <c r="O16" s="189">
        <f t="shared" si="0"/>
        <v>0.012163773979507964</v>
      </c>
      <c r="P16" s="189">
        <v>0.048547</v>
      </c>
      <c r="Q16" s="189">
        <v>0.8602617698298172</v>
      </c>
      <c r="R16" s="176">
        <v>0.03857560216381515</v>
      </c>
      <c r="S16" s="188"/>
    </row>
    <row r="17" spans="1:19" ht="12.75">
      <c r="A17">
        <v>16</v>
      </c>
      <c r="B17" s="185" t="s">
        <v>32</v>
      </c>
      <c r="C17" s="186">
        <v>140.99699999999999</v>
      </c>
      <c r="D17" s="187">
        <v>148.095</v>
      </c>
      <c r="E17" s="187">
        <v>142.761</v>
      </c>
      <c r="F17" s="187">
        <v>143.31</v>
      </c>
      <c r="G17" s="187">
        <v>150.258</v>
      </c>
      <c r="H17" s="187">
        <v>168.31300000000002</v>
      </c>
      <c r="I17" s="187">
        <v>175.23199999999997</v>
      </c>
      <c r="J17" s="187">
        <v>184.422</v>
      </c>
      <c r="K17" s="187">
        <v>194.23600000000002</v>
      </c>
      <c r="L17" s="187">
        <v>202.751</v>
      </c>
      <c r="M17" s="187">
        <v>212.239</v>
      </c>
      <c r="N17" s="187">
        <f t="shared" si="1"/>
        <v>175.23199999999997</v>
      </c>
      <c r="O17" s="189">
        <f t="shared" si="0"/>
        <v>0.004356907777314456</v>
      </c>
      <c r="P17" s="189">
        <v>0.023597999999999997</v>
      </c>
      <c r="Q17" s="189">
        <v>0.67558</v>
      </c>
      <c r="R17" s="176">
        <v>0.029323578938657134</v>
      </c>
      <c r="S17" s="188"/>
    </row>
    <row r="18" spans="1:19" ht="12.75">
      <c r="A18">
        <v>17</v>
      </c>
      <c r="B18" s="185" t="s">
        <v>54</v>
      </c>
      <c r="C18" s="186">
        <v>5700.298999999999</v>
      </c>
      <c r="D18" s="187">
        <v>5828.085</v>
      </c>
      <c r="E18" s="187">
        <v>5826.222000000001</v>
      </c>
      <c r="F18" s="187">
        <v>5967.487999999999</v>
      </c>
      <c r="G18" s="187">
        <v>6416.107999999999</v>
      </c>
      <c r="H18" s="187">
        <v>6973.259000000001</v>
      </c>
      <c r="I18" s="187">
        <v>7448.755999999999</v>
      </c>
      <c r="J18" s="187">
        <v>7711.140999999999</v>
      </c>
      <c r="K18" s="187">
        <v>7892.564</v>
      </c>
      <c r="L18" s="187">
        <v>8074.817000000001</v>
      </c>
      <c r="M18" s="187">
        <v>8283.158000000001</v>
      </c>
      <c r="N18" s="187">
        <f t="shared" si="1"/>
        <v>7448.755999999999</v>
      </c>
      <c r="O18" s="189">
        <f t="shared" si="0"/>
        <v>0.005364908033528293</v>
      </c>
      <c r="P18" s="189">
        <v>0.013392</v>
      </c>
      <c r="Q18" s="189">
        <v>0.7449348348177559</v>
      </c>
      <c r="R18" s="176">
        <v>0.022275078394998715</v>
      </c>
      <c r="S18" s="188"/>
    </row>
    <row r="19" spans="1:19" ht="12.75">
      <c r="A19">
        <v>18</v>
      </c>
      <c r="B19" s="185" t="s">
        <v>130</v>
      </c>
      <c r="C19" s="186">
        <v>6834</v>
      </c>
      <c r="D19" s="187">
        <v>6936</v>
      </c>
      <c r="E19" s="187">
        <v>6999.416000000001</v>
      </c>
      <c r="F19" s="187">
        <v>7204.645</v>
      </c>
      <c r="G19" s="187">
        <v>7377.71</v>
      </c>
      <c r="H19" s="187">
        <v>7623.306999999999</v>
      </c>
      <c r="I19" s="187">
        <v>7884.607999999997</v>
      </c>
      <c r="J19" s="187">
        <v>8004.012999999999</v>
      </c>
      <c r="K19" s="187">
        <v>8161.162</v>
      </c>
      <c r="L19" s="187">
        <v>8314.898999999998</v>
      </c>
      <c r="M19" s="187">
        <v>8478.149</v>
      </c>
      <c r="N19" s="187">
        <f t="shared" si="1"/>
        <v>7884.607999999997</v>
      </c>
      <c r="O19" s="189">
        <f t="shared" si="0"/>
        <v>0.002864140853154007</v>
      </c>
      <c r="P19" s="189">
        <v>0.011658999999999997</v>
      </c>
      <c r="Q19" s="189">
        <v>0.77361245715542</v>
      </c>
      <c r="R19" s="176">
        <v>0.01758596763544606</v>
      </c>
      <c r="S19" s="188"/>
    </row>
    <row r="20" spans="1:19" ht="12.75">
      <c r="A20">
        <v>19</v>
      </c>
      <c r="B20" s="185" t="s">
        <v>131</v>
      </c>
      <c r="C20" s="186">
        <v>42.339</v>
      </c>
      <c r="D20" s="187">
        <v>45.272</v>
      </c>
      <c r="E20" s="187">
        <v>50.487</v>
      </c>
      <c r="F20" s="187">
        <v>56.37</v>
      </c>
      <c r="G20" s="187">
        <v>64.85</v>
      </c>
      <c r="H20" s="187">
        <v>70.755</v>
      </c>
      <c r="I20" s="187">
        <v>77.261</v>
      </c>
      <c r="J20" s="187">
        <v>89.15400000000001</v>
      </c>
      <c r="K20" s="187">
        <v>103.504</v>
      </c>
      <c r="L20" s="187">
        <v>118.25899999999999</v>
      </c>
      <c r="M20" s="187">
        <v>139.51699999999997</v>
      </c>
      <c r="N20" s="187">
        <f t="shared" si="1"/>
        <v>77.261</v>
      </c>
      <c r="O20" s="189">
        <f t="shared" si="0"/>
        <v>0.012102259874598342</v>
      </c>
      <c r="P20" s="189">
        <v>0.029875500000000003</v>
      </c>
      <c r="Q20" s="189">
        <v>0.53331602858308</v>
      </c>
      <c r="R20" s="176">
        <v>0.041843269836043216</v>
      </c>
      <c r="S20" s="188"/>
    </row>
    <row r="21" spans="1:19" ht="12.75">
      <c r="A21">
        <v>20</v>
      </c>
      <c r="B21" s="185" t="s">
        <v>132</v>
      </c>
      <c r="C21" s="186">
        <v>1305.574</v>
      </c>
      <c r="D21" s="187">
        <v>1303.2189999999998</v>
      </c>
      <c r="E21" s="187">
        <v>1333.728</v>
      </c>
      <c r="F21" s="187">
        <v>1376.11</v>
      </c>
      <c r="G21" s="187">
        <v>1456.2940000000003</v>
      </c>
      <c r="H21" s="187">
        <v>1699</v>
      </c>
      <c r="I21" s="187">
        <v>1900.2240000000004</v>
      </c>
      <c r="J21" s="187">
        <v>2141.2810000000004</v>
      </c>
      <c r="K21" s="187">
        <v>2410.5590000000007</v>
      </c>
      <c r="L21" s="187">
        <v>2853.455</v>
      </c>
      <c r="M21" s="187">
        <v>3364.556</v>
      </c>
      <c r="N21" s="187">
        <f t="shared" si="1"/>
        <v>1900.2240000000004</v>
      </c>
      <c r="O21" s="189">
        <f t="shared" si="0"/>
        <v>0.007534824662260853</v>
      </c>
      <c r="P21" s="189">
        <v>0.045396</v>
      </c>
      <c r="Q21" s="189">
        <v>0.6481091019584684</v>
      </c>
      <c r="R21" s="176">
        <v>0.039063772775038724</v>
      </c>
      <c r="S21" s="188"/>
    </row>
    <row r="22" spans="1:19" ht="12.75">
      <c r="A22">
        <v>21</v>
      </c>
      <c r="B22" s="185" t="s">
        <v>133</v>
      </c>
      <c r="C22" s="186">
        <v>441.70099999999996</v>
      </c>
      <c r="D22" s="187">
        <v>478.63400000000007</v>
      </c>
      <c r="E22" s="187">
        <v>521.2159999999999</v>
      </c>
      <c r="F22" s="187">
        <v>567.465</v>
      </c>
      <c r="G22" s="187">
        <v>624.536</v>
      </c>
      <c r="H22" s="187">
        <v>692.846</v>
      </c>
      <c r="I22" s="187">
        <v>773.576</v>
      </c>
      <c r="J22" s="187">
        <v>867.3439999999999</v>
      </c>
      <c r="K22" s="187">
        <v>981.035</v>
      </c>
      <c r="L22" s="187">
        <v>1027.5430000000001</v>
      </c>
      <c r="M22" s="187">
        <v>1194.3290000000002</v>
      </c>
      <c r="N22" s="187">
        <f t="shared" si="1"/>
        <v>773.576</v>
      </c>
      <c r="O22" s="189">
        <f t="shared" si="0"/>
        <v>0.011270857605638396</v>
      </c>
      <c r="P22" s="189">
        <v>0.0370745</v>
      </c>
      <c r="Q22" s="189">
        <v>0.7031724164275778</v>
      </c>
      <c r="R22" s="176">
        <v>0.03674606023592805</v>
      </c>
      <c r="S22" s="188"/>
    </row>
    <row r="23" spans="1:19" ht="12.75">
      <c r="A23">
        <v>22</v>
      </c>
      <c r="B23" s="185" t="s">
        <v>33</v>
      </c>
      <c r="C23" s="186">
        <v>1590.294</v>
      </c>
      <c r="D23" s="187">
        <v>1745.9519999999998</v>
      </c>
      <c r="E23" s="187">
        <v>1919.657</v>
      </c>
      <c r="F23" s="187">
        <v>2140.9289999999996</v>
      </c>
      <c r="G23" s="187">
        <v>2402.4510000000005</v>
      </c>
      <c r="H23" s="187">
        <v>2710.7770000000005</v>
      </c>
      <c r="I23" s="187">
        <v>3075.231999999999</v>
      </c>
      <c r="J23" s="187">
        <v>3405.945</v>
      </c>
      <c r="K23" s="187">
        <v>3863.7930000000006</v>
      </c>
      <c r="L23" s="187">
        <v>4406.7880000000005</v>
      </c>
      <c r="M23" s="187">
        <v>5028.605999999999</v>
      </c>
      <c r="N23" s="187">
        <f t="shared" si="1"/>
        <v>3075.231999999999</v>
      </c>
      <c r="O23" s="189">
        <f t="shared" si="0"/>
        <v>0.013276590348291206</v>
      </c>
      <c r="P23" s="189">
        <v>0.021328499999999997</v>
      </c>
      <c r="Q23" s="189">
        <v>0.417070685878106</v>
      </c>
      <c r="R23" s="176">
        <v>0.038263101494839774</v>
      </c>
      <c r="S23" s="188"/>
    </row>
    <row r="24" spans="1:19" ht="12.75">
      <c r="A24">
        <v>23</v>
      </c>
      <c r="B24" s="185" t="s">
        <v>134</v>
      </c>
      <c r="C24" s="186">
        <v>1655.098</v>
      </c>
      <c r="D24" s="187">
        <v>1860.7</v>
      </c>
      <c r="E24" s="187">
        <v>1952.4879999999996</v>
      </c>
      <c r="F24" s="187">
        <v>2104.4010000000003</v>
      </c>
      <c r="G24" s="187">
        <v>2331.9360000000006</v>
      </c>
      <c r="H24" s="187">
        <v>2590.5009999999997</v>
      </c>
      <c r="I24" s="187">
        <v>2846.66</v>
      </c>
      <c r="J24" s="187">
        <v>3088.399</v>
      </c>
      <c r="K24" s="187">
        <v>3279.6</v>
      </c>
      <c r="L24" s="187">
        <v>2667.127</v>
      </c>
      <c r="M24" s="187">
        <v>3223.777</v>
      </c>
      <c r="N24" s="187">
        <f t="shared" si="1"/>
        <v>2846.66</v>
      </c>
      <c r="O24" s="189">
        <f t="shared" si="0"/>
        <v>0.01090475117521561</v>
      </c>
      <c r="P24" s="189">
        <v>0.024822</v>
      </c>
      <c r="Q24" s="189">
        <v>0.67558</v>
      </c>
      <c r="R24" s="176">
        <v>0.028920907304721945</v>
      </c>
      <c r="S24" s="188"/>
    </row>
    <row r="25" spans="1:19" ht="12.75">
      <c r="A25">
        <v>24</v>
      </c>
      <c r="B25" s="185" t="s">
        <v>135</v>
      </c>
      <c r="C25" s="186">
        <v>209.72799999999998</v>
      </c>
      <c r="D25" s="187">
        <v>236.80200000000002</v>
      </c>
      <c r="E25" s="187">
        <v>252.5</v>
      </c>
      <c r="F25" s="187">
        <v>276.2</v>
      </c>
      <c r="G25" s="187">
        <v>312.601</v>
      </c>
      <c r="H25" s="187">
        <v>379.10099999999994</v>
      </c>
      <c r="I25" s="187">
        <v>465.302</v>
      </c>
      <c r="J25" s="187">
        <v>555.689</v>
      </c>
      <c r="K25" s="187">
        <v>665.4770000000002</v>
      </c>
      <c r="L25" s="187">
        <v>795.489</v>
      </c>
      <c r="M25" s="187">
        <v>892.3279999999999</v>
      </c>
      <c r="N25" s="187">
        <f t="shared" si="1"/>
        <v>465.302</v>
      </c>
      <c r="O25" s="189">
        <f t="shared" si="0"/>
        <v>0.016065183494753166</v>
      </c>
      <c r="P25" s="189">
        <v>0.030514000000000003</v>
      </c>
      <c r="Q25" s="189">
        <v>0.4669994064441474</v>
      </c>
      <c r="R25" s="176">
        <v>0.04606308897572506</v>
      </c>
      <c r="S25" s="188"/>
    </row>
    <row r="26" spans="1:19" ht="12.75">
      <c r="A26">
        <v>25</v>
      </c>
      <c r="B26" s="185" t="s">
        <v>34</v>
      </c>
      <c r="C26" s="186">
        <v>31542.715</v>
      </c>
      <c r="D26" s="187">
        <v>36440.037</v>
      </c>
      <c r="E26" s="187">
        <v>41264.148</v>
      </c>
      <c r="F26" s="187">
        <v>47488.69200000001</v>
      </c>
      <c r="G26" s="187">
        <v>55314.414</v>
      </c>
      <c r="H26" s="187">
        <v>64535.91</v>
      </c>
      <c r="I26" s="187">
        <v>75297.404</v>
      </c>
      <c r="J26" s="187">
        <v>85724.16500000001</v>
      </c>
      <c r="K26" s="187">
        <v>96603.77200000001</v>
      </c>
      <c r="L26" s="187">
        <v>108834.71500000001</v>
      </c>
      <c r="M26" s="187">
        <v>121329.25300000001</v>
      </c>
      <c r="N26" s="187">
        <f t="shared" si="1"/>
        <v>75297.404</v>
      </c>
      <c r="O26" s="189">
        <f t="shared" si="0"/>
        <v>0.01755435799205074</v>
      </c>
      <c r="P26" s="189">
        <v>0.03632</v>
      </c>
      <c r="Q26" s="189">
        <v>0.9404124005120112</v>
      </c>
      <c r="R26" s="176">
        <v>0.03588256904980889</v>
      </c>
      <c r="S26" s="188"/>
    </row>
    <row r="27" spans="1:19" ht="12.75">
      <c r="A27">
        <v>26</v>
      </c>
      <c r="B27" s="185" t="s">
        <v>136</v>
      </c>
      <c r="C27" s="186">
        <v>30.52</v>
      </c>
      <c r="D27" s="187">
        <v>38.3</v>
      </c>
      <c r="E27" s="187">
        <v>46.19899999999999</v>
      </c>
      <c r="F27" s="187">
        <v>55</v>
      </c>
      <c r="G27" s="187">
        <v>73.901</v>
      </c>
      <c r="H27" s="187">
        <v>96.3</v>
      </c>
      <c r="I27" s="187">
        <v>118.55399999999999</v>
      </c>
      <c r="J27" s="187">
        <v>138.999</v>
      </c>
      <c r="K27" s="187">
        <v>168.36800000000002</v>
      </c>
      <c r="L27" s="187">
        <v>194.827</v>
      </c>
      <c r="M27" s="187">
        <v>223.616</v>
      </c>
      <c r="N27" s="187">
        <f t="shared" si="1"/>
        <v>118.55399999999999</v>
      </c>
      <c r="O27" s="189">
        <f t="shared" si="0"/>
        <v>0.027511363743288664</v>
      </c>
      <c r="P27" s="189">
        <v>0.028258000000000002</v>
      </c>
      <c r="Q27" s="189">
        <v>0.6839070484306632</v>
      </c>
      <c r="R27" s="176">
        <v>0.0321191590640161</v>
      </c>
      <c r="S27" s="188"/>
    </row>
    <row r="28" spans="1:19" ht="12.75">
      <c r="A28">
        <v>27</v>
      </c>
      <c r="B28" s="185" t="s">
        <v>55</v>
      </c>
      <c r="C28" s="186">
        <v>5309</v>
      </c>
      <c r="D28" s="187">
        <v>5507</v>
      </c>
      <c r="E28" s="187">
        <v>5817</v>
      </c>
      <c r="F28" s="187">
        <v>6221.33</v>
      </c>
      <c r="G28" s="187">
        <v>6551.695000000001</v>
      </c>
      <c r="H28" s="187">
        <v>6800.88</v>
      </c>
      <c r="I28" s="187">
        <v>6899.83</v>
      </c>
      <c r="J28" s="187">
        <v>7054.9039999999995</v>
      </c>
      <c r="K28" s="187">
        <v>6936.745999999999</v>
      </c>
      <c r="L28" s="187">
        <v>6881.822</v>
      </c>
      <c r="M28" s="187">
        <v>6697.43</v>
      </c>
      <c r="N28" s="187">
        <f t="shared" si="1"/>
        <v>6899.83</v>
      </c>
      <c r="O28" s="189">
        <f t="shared" si="0"/>
        <v>0.005255628214576147</v>
      </c>
      <c r="P28" s="189">
        <v>0.013839500000000001</v>
      </c>
      <c r="Q28" s="189">
        <v>0.67558</v>
      </c>
      <c r="R28" s="176">
        <v>0.019779375627761803</v>
      </c>
      <c r="S28" s="188"/>
    </row>
    <row r="29" spans="1:19" ht="12.75">
      <c r="A29">
        <v>28</v>
      </c>
      <c r="B29" s="185" t="s">
        <v>137</v>
      </c>
      <c r="C29" s="186">
        <v>2270.416</v>
      </c>
      <c r="D29" s="187">
        <v>2391.1230000000005</v>
      </c>
      <c r="E29" s="187">
        <v>2549.045</v>
      </c>
      <c r="F29" s="187">
        <v>2755.774</v>
      </c>
      <c r="G29" s="187">
        <v>2962.507</v>
      </c>
      <c r="H29" s="187">
        <v>3236.23</v>
      </c>
      <c r="I29" s="187">
        <v>3571.58</v>
      </c>
      <c r="J29" s="187">
        <v>3995.783</v>
      </c>
      <c r="K29" s="187">
        <v>4633.461999999999</v>
      </c>
      <c r="L29" s="187">
        <v>5305.893</v>
      </c>
      <c r="M29" s="187">
        <v>5918.447999999999</v>
      </c>
      <c r="N29" s="187">
        <f t="shared" si="1"/>
        <v>3571.58</v>
      </c>
      <c r="O29" s="189">
        <f t="shared" si="0"/>
        <v>0.009102074224973666</v>
      </c>
      <c r="P29" s="189">
        <v>0.0473905</v>
      </c>
      <c r="Q29" s="189">
        <v>0.6868490241612363</v>
      </c>
      <c r="R29" s="176">
        <v>0.04307386669486863</v>
      </c>
      <c r="S29" s="188"/>
    </row>
    <row r="30" spans="1:19" ht="12.75">
      <c r="A30">
        <v>29</v>
      </c>
      <c r="B30" s="185" t="s">
        <v>138</v>
      </c>
      <c r="C30" s="186">
        <v>1452.1009999999997</v>
      </c>
      <c r="D30" s="187">
        <v>1537.948</v>
      </c>
      <c r="E30" s="187">
        <v>1646.41</v>
      </c>
      <c r="F30" s="187">
        <v>1767.2659999999996</v>
      </c>
      <c r="G30" s="187">
        <v>1947.2</v>
      </c>
      <c r="H30" s="187">
        <v>2005.9009999999998</v>
      </c>
      <c r="I30" s="187">
        <v>2282.4990000000007</v>
      </c>
      <c r="J30" s="187">
        <v>2726.328</v>
      </c>
      <c r="K30" s="187">
        <v>3092.5789999999997</v>
      </c>
      <c r="L30" s="187">
        <v>3238.6109999999994</v>
      </c>
      <c r="M30" s="187">
        <v>3332.9819999999995</v>
      </c>
      <c r="N30" s="187">
        <f t="shared" si="1"/>
        <v>2282.4990000000007</v>
      </c>
      <c r="O30" s="189">
        <f t="shared" si="0"/>
        <v>0.009086219778908111</v>
      </c>
      <c r="P30" s="189">
        <v>0.04588200000000001</v>
      </c>
      <c r="Q30" s="189">
        <v>0.7728925431958655</v>
      </c>
      <c r="R30" s="176">
        <v>0.04170677493170339</v>
      </c>
      <c r="S30" s="188"/>
    </row>
    <row r="31" spans="1:19" ht="12.75">
      <c r="A31">
        <v>30</v>
      </c>
      <c r="B31" s="185" t="s">
        <v>24</v>
      </c>
      <c r="C31" s="186">
        <v>2511.1</v>
      </c>
      <c r="D31" s="187">
        <v>2794.1989999999996</v>
      </c>
      <c r="E31" s="187">
        <v>3124.5059999999994</v>
      </c>
      <c r="F31" s="187">
        <v>3510.903999999999</v>
      </c>
      <c r="G31" s="187">
        <v>3937.8960000000006</v>
      </c>
      <c r="H31" s="187">
        <v>4098.701</v>
      </c>
      <c r="I31" s="187">
        <v>3952.493</v>
      </c>
      <c r="J31" s="187">
        <v>4527.391</v>
      </c>
      <c r="K31" s="187">
        <v>5333.048</v>
      </c>
      <c r="L31" s="187">
        <v>5992.892</v>
      </c>
      <c r="M31" s="187">
        <v>7354.678</v>
      </c>
      <c r="N31" s="187">
        <f t="shared" si="1"/>
        <v>3952.493</v>
      </c>
      <c r="O31" s="189">
        <f t="shared" si="0"/>
        <v>0.009113792281288724</v>
      </c>
      <c r="P31" s="189">
        <v>0.027793500000000006</v>
      </c>
      <c r="Q31" s="189">
        <v>0.381588207831916</v>
      </c>
      <c r="R31" s="176">
        <v>0.03939516242084385</v>
      </c>
      <c r="S31" s="188"/>
    </row>
    <row r="32" spans="1:19" ht="12.75">
      <c r="A32">
        <v>31</v>
      </c>
      <c r="B32" s="185" t="s">
        <v>139</v>
      </c>
      <c r="C32" s="186">
        <v>2695.7879999999996</v>
      </c>
      <c r="D32" s="187">
        <v>2916.0279999999993</v>
      </c>
      <c r="E32" s="187">
        <v>3174.4140000000007</v>
      </c>
      <c r="F32" s="187">
        <v>3474.602999999999</v>
      </c>
      <c r="G32" s="187">
        <v>3834.8440000000005</v>
      </c>
      <c r="H32" s="187">
        <v>4274.966</v>
      </c>
      <c r="I32" s="187">
        <v>4861.558999999999</v>
      </c>
      <c r="J32" s="187">
        <v>5520.474999999999</v>
      </c>
      <c r="K32" s="187">
        <v>6371.0289999999995</v>
      </c>
      <c r="L32" s="187">
        <v>7355.888000000001</v>
      </c>
      <c r="M32" s="187">
        <v>8464.958</v>
      </c>
      <c r="N32" s="187">
        <f t="shared" si="1"/>
        <v>4861.558999999999</v>
      </c>
      <c r="O32" s="189">
        <f t="shared" si="0"/>
        <v>0.01186318826860111</v>
      </c>
      <c r="P32" s="189">
        <v>0.052100999999999995</v>
      </c>
      <c r="Q32" s="189">
        <v>0.7902062502218166</v>
      </c>
      <c r="R32" s="176">
        <v>0.03794614776961605</v>
      </c>
      <c r="S32" s="188"/>
    </row>
    <row r="33" spans="1:19" ht="12.75">
      <c r="A33">
        <v>32</v>
      </c>
      <c r="B33" s="185" t="s">
        <v>140</v>
      </c>
      <c r="C33" s="186">
        <v>9659.999</v>
      </c>
      <c r="D33" s="187">
        <v>10685</v>
      </c>
      <c r="E33" s="187">
        <v>11902</v>
      </c>
      <c r="F33" s="187">
        <v>13109.653999999999</v>
      </c>
      <c r="G33" s="187">
        <v>15179.773</v>
      </c>
      <c r="H33" s="187">
        <v>17085.148999999998</v>
      </c>
      <c r="I33" s="187">
        <v>18941.585999999996</v>
      </c>
      <c r="J33" s="187">
        <v>20339.474000000002</v>
      </c>
      <c r="K33" s="187">
        <v>21968.246000000006</v>
      </c>
      <c r="L33" s="187">
        <v>23377.236999999997</v>
      </c>
      <c r="M33" s="187">
        <v>24874.516999999996</v>
      </c>
      <c r="N33" s="187">
        <f t="shared" si="1"/>
        <v>18941.585999999996</v>
      </c>
      <c r="O33" s="189">
        <f t="shared" si="0"/>
        <v>0.013558418448686993</v>
      </c>
      <c r="P33" s="189">
        <v>0.015713500000000002</v>
      </c>
      <c r="Q33" s="189">
        <v>0.7747713752433847</v>
      </c>
      <c r="R33" s="176">
        <v>0.022909946848631103</v>
      </c>
      <c r="S33" s="188"/>
    </row>
    <row r="34" spans="1:19" ht="12.75">
      <c r="A34">
        <v>33</v>
      </c>
      <c r="B34" s="185" t="s">
        <v>141</v>
      </c>
      <c r="C34" s="186">
        <v>96.10799999999999</v>
      </c>
      <c r="D34" s="187">
        <v>103.72</v>
      </c>
      <c r="E34" s="187">
        <v>111.56</v>
      </c>
      <c r="F34" s="187">
        <v>125.09700000000001</v>
      </c>
      <c r="G34" s="187">
        <v>140.148</v>
      </c>
      <c r="H34" s="187">
        <v>147.864</v>
      </c>
      <c r="I34" s="187">
        <v>156.27299999999997</v>
      </c>
      <c r="J34" s="187">
        <v>173.11700000000002</v>
      </c>
      <c r="K34" s="187">
        <v>192.83300000000008</v>
      </c>
      <c r="L34" s="187">
        <v>222.72799999999998</v>
      </c>
      <c r="M34" s="187">
        <v>259.249</v>
      </c>
      <c r="N34" s="187">
        <f t="shared" si="1"/>
        <v>156.27299999999997</v>
      </c>
      <c r="O34" s="189">
        <f t="shared" si="0"/>
        <v>0.009770056774278224</v>
      </c>
      <c r="P34" s="189">
        <v>0.04944149999999999</v>
      </c>
      <c r="Q34" s="189">
        <v>0.8693560468938918</v>
      </c>
      <c r="R34" s="176">
        <v>0.04228711431731378</v>
      </c>
      <c r="S34" s="188"/>
    </row>
    <row r="35" spans="1:19" ht="12.75">
      <c r="A35">
        <v>34</v>
      </c>
      <c r="B35" s="185" t="s">
        <v>142</v>
      </c>
      <c r="C35" s="186">
        <v>10481.528999999999</v>
      </c>
      <c r="D35" s="187">
        <v>11349.946999999998</v>
      </c>
      <c r="E35" s="187">
        <v>12334.609</v>
      </c>
      <c r="F35" s="187">
        <v>13517.777000000002</v>
      </c>
      <c r="G35" s="187">
        <v>14723.748000000001</v>
      </c>
      <c r="H35" s="187">
        <v>16341.6</v>
      </c>
      <c r="I35" s="187">
        <v>18544.653</v>
      </c>
      <c r="J35" s="187">
        <v>20837.881999999998</v>
      </c>
      <c r="K35" s="187">
        <v>22851.731999999996</v>
      </c>
      <c r="L35" s="187">
        <v>24670.965999999997</v>
      </c>
      <c r="M35" s="187">
        <v>26743.878999999997</v>
      </c>
      <c r="N35" s="187">
        <f t="shared" si="1"/>
        <v>18544.653</v>
      </c>
      <c r="O35" s="189">
        <f t="shared" si="0"/>
        <v>0.011476696381503837</v>
      </c>
      <c r="P35" s="189">
        <v>0.026603500000000002</v>
      </c>
      <c r="Q35" s="189">
        <v>0.8172458975470124</v>
      </c>
      <c r="R35" s="176">
        <v>0.03349306977680432</v>
      </c>
      <c r="S35" s="188"/>
    </row>
    <row r="36" spans="1:19" ht="12.75">
      <c r="A36">
        <v>35</v>
      </c>
      <c r="B36" s="185" t="s">
        <v>143</v>
      </c>
      <c r="C36" s="186">
        <v>840.2710000000001</v>
      </c>
      <c r="D36" s="187">
        <v>886.4389999999999</v>
      </c>
      <c r="E36" s="187">
        <v>942.874</v>
      </c>
      <c r="F36" s="187">
        <v>1009.6479999999999</v>
      </c>
      <c r="G36" s="187">
        <v>1107.283</v>
      </c>
      <c r="H36" s="187">
        <v>1222.109</v>
      </c>
      <c r="I36" s="187">
        <v>1349.608</v>
      </c>
      <c r="J36" s="187">
        <v>1532.038</v>
      </c>
      <c r="K36" s="187">
        <v>1664.8790000000004</v>
      </c>
      <c r="L36" s="187">
        <v>1900.0659999999996</v>
      </c>
      <c r="M36" s="187">
        <v>2118.637</v>
      </c>
      <c r="N36" s="187">
        <f t="shared" si="1"/>
        <v>1349.608</v>
      </c>
      <c r="O36" s="189">
        <f t="shared" si="0"/>
        <v>0.009521948010354553</v>
      </c>
      <c r="P36" s="189">
        <v>0.04191899999999999</v>
      </c>
      <c r="Q36" s="189">
        <v>0.7830255592199432</v>
      </c>
      <c r="R36" s="176">
        <v>0.035152486561787606</v>
      </c>
      <c r="S36" s="188"/>
    </row>
    <row r="37" spans="1:19" ht="12.75">
      <c r="A37">
        <v>36</v>
      </c>
      <c r="B37" s="185" t="s">
        <v>144</v>
      </c>
      <c r="C37" s="186">
        <v>21294.539</v>
      </c>
      <c r="D37" s="187">
        <v>23782.781999999996</v>
      </c>
      <c r="E37" s="187">
        <v>27001.509</v>
      </c>
      <c r="F37" s="187">
        <v>31018.003999999997</v>
      </c>
      <c r="G37" s="187">
        <v>36124.55100000001</v>
      </c>
      <c r="H37" s="187">
        <v>42194.04</v>
      </c>
      <c r="I37" s="187">
        <v>49324.46900000001</v>
      </c>
      <c r="J37" s="187">
        <v>57514.053</v>
      </c>
      <c r="K37" s="187">
        <v>67187.279</v>
      </c>
      <c r="L37" s="187">
        <v>77604.52</v>
      </c>
      <c r="M37" s="187">
        <v>88032.61300000001</v>
      </c>
      <c r="N37" s="187">
        <f t="shared" si="1"/>
        <v>49324.46900000001</v>
      </c>
      <c r="O37" s="189">
        <f t="shared" si="0"/>
        <v>0.0169412959455979</v>
      </c>
      <c r="P37" s="189">
        <v>0.0181415</v>
      </c>
      <c r="Q37" s="189">
        <v>0.42379708869898547</v>
      </c>
      <c r="R37" s="176">
        <v>0.04006905508821478</v>
      </c>
      <c r="S37" s="188"/>
    </row>
    <row r="38" spans="1:19" ht="12.75">
      <c r="A38">
        <v>37</v>
      </c>
      <c r="B38" s="185" t="s">
        <v>145</v>
      </c>
      <c r="C38" s="186">
        <v>1657.3570000000004</v>
      </c>
      <c r="D38" s="187">
        <v>1744.4370000000001</v>
      </c>
      <c r="E38" s="187">
        <v>1852.23</v>
      </c>
      <c r="F38" s="187">
        <v>1974.41</v>
      </c>
      <c r="G38" s="187">
        <v>2143.2019999999998</v>
      </c>
      <c r="H38" s="187">
        <v>2322.957</v>
      </c>
      <c r="I38" s="187">
        <v>2507.8689999999997</v>
      </c>
      <c r="J38" s="187">
        <v>2768.6150000000007</v>
      </c>
      <c r="K38" s="187">
        <v>3176.343</v>
      </c>
      <c r="L38" s="187">
        <v>3638.997</v>
      </c>
      <c r="M38" s="187">
        <v>4222.025000000001</v>
      </c>
      <c r="N38" s="187">
        <f t="shared" si="1"/>
        <v>2507.8689999999997</v>
      </c>
      <c r="O38" s="189">
        <f t="shared" si="0"/>
        <v>0.00831859328097928</v>
      </c>
      <c r="P38" s="189">
        <v>0.042216</v>
      </c>
      <c r="Q38" s="189">
        <v>0.6550317520931384</v>
      </c>
      <c r="R38" s="176">
        <v>0.037251957572310174</v>
      </c>
      <c r="S38" s="188"/>
    </row>
    <row r="39" spans="1:19" ht="12.75">
      <c r="A39">
        <v>38</v>
      </c>
      <c r="B39" s="185" t="s">
        <v>146</v>
      </c>
      <c r="C39" s="186">
        <v>80.38699999999999</v>
      </c>
      <c r="D39" s="187">
        <v>83.27700000000002</v>
      </c>
      <c r="E39" s="187">
        <v>86.338</v>
      </c>
      <c r="F39" s="187">
        <v>90.74600000000002</v>
      </c>
      <c r="G39" s="187">
        <v>95.63</v>
      </c>
      <c r="H39" s="187">
        <v>101.62599999999999</v>
      </c>
      <c r="I39" s="187">
        <v>105.58100000000002</v>
      </c>
      <c r="J39" s="187">
        <v>112.51100000000001</v>
      </c>
      <c r="K39" s="187">
        <v>118.965</v>
      </c>
      <c r="L39" s="187">
        <v>119.44</v>
      </c>
      <c r="M39" s="187">
        <v>119.205</v>
      </c>
      <c r="N39" s="187">
        <f t="shared" si="1"/>
        <v>105.58100000000002</v>
      </c>
      <c r="O39" s="189">
        <f t="shared" si="0"/>
        <v>0.005467411222248808</v>
      </c>
      <c r="P39" s="189">
        <v>0.013461999999999998</v>
      </c>
      <c r="Q39" s="189">
        <v>0.9575231928012521</v>
      </c>
      <c r="R39" s="176">
        <v>0.016102953489268126</v>
      </c>
      <c r="S39" s="188"/>
    </row>
    <row r="40" spans="1:19" ht="12.75">
      <c r="A40">
        <v>39</v>
      </c>
      <c r="B40" s="185" t="s">
        <v>35</v>
      </c>
      <c r="C40" s="186">
        <v>3848.97</v>
      </c>
      <c r="D40" s="187">
        <v>4184.089</v>
      </c>
      <c r="E40" s="187">
        <v>4623.636</v>
      </c>
      <c r="F40" s="187">
        <v>5143.245999999999</v>
      </c>
      <c r="G40" s="187">
        <v>5771.043999999999</v>
      </c>
      <c r="H40" s="187">
        <v>6527.957999999999</v>
      </c>
      <c r="I40" s="187">
        <v>7411.33</v>
      </c>
      <c r="J40" s="187">
        <v>8292.657000000001</v>
      </c>
      <c r="K40" s="187">
        <v>9161.012999999999</v>
      </c>
      <c r="L40" s="187">
        <v>10025.139</v>
      </c>
      <c r="M40" s="187">
        <v>10883.108000000002</v>
      </c>
      <c r="N40" s="187">
        <f t="shared" si="1"/>
        <v>7411.33</v>
      </c>
      <c r="O40" s="189">
        <f t="shared" si="0"/>
        <v>0.01319032141418841</v>
      </c>
      <c r="P40" s="189">
        <v>0.024463999999999996</v>
      </c>
      <c r="Q40" s="189">
        <v>0.8675815877084454</v>
      </c>
      <c r="R40" s="176">
        <v>0.031433449521546315</v>
      </c>
      <c r="S40" s="188"/>
    </row>
    <row r="41" spans="1:19" ht="12.75">
      <c r="A41">
        <v>40</v>
      </c>
      <c r="B41" s="185" t="s">
        <v>25</v>
      </c>
      <c r="C41" s="186">
        <v>368712.7</v>
      </c>
      <c r="D41" s="187">
        <v>383045.65100000007</v>
      </c>
      <c r="E41" s="187">
        <v>401694.604</v>
      </c>
      <c r="F41" s="187">
        <v>436196.788</v>
      </c>
      <c r="G41" s="187">
        <v>500636.5349999999</v>
      </c>
      <c r="H41" s="187">
        <v>561429.986</v>
      </c>
      <c r="I41" s="187">
        <v>644244.4569999998</v>
      </c>
      <c r="J41" s="187">
        <v>745899.1859999999</v>
      </c>
      <c r="K41" s="187">
        <v>835430.147</v>
      </c>
      <c r="L41" s="187">
        <v>896909.026</v>
      </c>
      <c r="M41" s="187">
        <v>958295.0960000001</v>
      </c>
      <c r="N41" s="187">
        <f t="shared" si="1"/>
        <v>644244.4569999998</v>
      </c>
      <c r="O41" s="189">
        <f t="shared" si="0"/>
        <v>0.011223728595527671</v>
      </c>
      <c r="P41" s="189">
        <v>0.019134999999999996</v>
      </c>
      <c r="Q41" s="189">
        <v>0.6919227017635874</v>
      </c>
      <c r="R41" s="176">
        <v>0.03077658485877753</v>
      </c>
      <c r="S41" s="188"/>
    </row>
    <row r="42" spans="1:19" ht="12.75">
      <c r="A42">
        <v>41</v>
      </c>
      <c r="B42" s="185" t="s">
        <v>36</v>
      </c>
      <c r="C42" s="186">
        <v>7210</v>
      </c>
      <c r="D42" s="187">
        <v>8030.764</v>
      </c>
      <c r="E42" s="187">
        <v>9052.517000000002</v>
      </c>
      <c r="F42" s="187">
        <v>10437.46</v>
      </c>
      <c r="G42" s="187">
        <v>12240.25</v>
      </c>
      <c r="H42" s="187">
        <v>14367.22</v>
      </c>
      <c r="I42" s="187">
        <v>16878.721999999998</v>
      </c>
      <c r="J42" s="187">
        <v>19684.496000000003</v>
      </c>
      <c r="K42" s="187">
        <v>22367.568000000003</v>
      </c>
      <c r="L42" s="187">
        <v>25271.165999999997</v>
      </c>
      <c r="M42" s="187">
        <v>28298.557999999997</v>
      </c>
      <c r="N42" s="187">
        <f t="shared" si="1"/>
        <v>16878.721999999998</v>
      </c>
      <c r="O42" s="189">
        <f t="shared" si="0"/>
        <v>0.017157219416858327</v>
      </c>
      <c r="P42" s="189">
        <v>0.022555</v>
      </c>
      <c r="Q42" s="189">
        <v>0.5381345278477161</v>
      </c>
      <c r="R42" s="176">
        <v>0.03854368282391902</v>
      </c>
      <c r="S42" s="188"/>
    </row>
    <row r="43" spans="1:19" ht="12.75">
      <c r="A43">
        <v>42</v>
      </c>
      <c r="B43" s="185" t="s">
        <v>147</v>
      </c>
      <c r="C43" s="186">
        <v>97.557</v>
      </c>
      <c r="D43" s="187">
        <v>108.86800000000001</v>
      </c>
      <c r="E43" s="187">
        <v>119.84299999999999</v>
      </c>
      <c r="F43" s="187">
        <v>133.08</v>
      </c>
      <c r="G43" s="187">
        <v>148.222</v>
      </c>
      <c r="H43" s="187">
        <v>167.52399999999997</v>
      </c>
      <c r="I43" s="187">
        <v>200.952</v>
      </c>
      <c r="J43" s="187">
        <v>236.46300000000002</v>
      </c>
      <c r="K43" s="187">
        <v>279.36300000000006</v>
      </c>
      <c r="L43" s="187">
        <v>334.29699999999997</v>
      </c>
      <c r="M43" s="187">
        <v>402.147</v>
      </c>
      <c r="N43" s="187">
        <f t="shared" si="1"/>
        <v>200.952</v>
      </c>
      <c r="O43" s="189">
        <f t="shared" si="0"/>
        <v>0.014557528586057078</v>
      </c>
      <c r="P43" s="189">
        <v>0.046800499999999995</v>
      </c>
      <c r="Q43" s="189">
        <v>0.6521048625568207</v>
      </c>
      <c r="R43" s="176">
        <v>0.04224340938295867</v>
      </c>
      <c r="S43" s="188"/>
    </row>
    <row r="44" spans="1:19" ht="12.75">
      <c r="A44">
        <v>43</v>
      </c>
      <c r="B44" s="185" t="s">
        <v>148</v>
      </c>
      <c r="C44" s="186">
        <v>483.8260000000001</v>
      </c>
      <c r="D44" s="187">
        <v>528.537</v>
      </c>
      <c r="E44" s="187">
        <v>580.279</v>
      </c>
      <c r="F44" s="187">
        <v>640.214</v>
      </c>
      <c r="G44" s="187">
        <v>714.4669999999998</v>
      </c>
      <c r="H44" s="187">
        <v>804.7989999999999</v>
      </c>
      <c r="I44" s="187">
        <v>916.55</v>
      </c>
      <c r="J44" s="187">
        <v>1055.158</v>
      </c>
      <c r="K44" s="187">
        <v>1219.628</v>
      </c>
      <c r="L44" s="187">
        <v>1419.1619999999998</v>
      </c>
      <c r="M44" s="187">
        <v>1622.12</v>
      </c>
      <c r="N44" s="187">
        <f t="shared" si="1"/>
        <v>916.55</v>
      </c>
      <c r="O44" s="189">
        <f t="shared" si="0"/>
        <v>0.012859810904268132</v>
      </c>
      <c r="P44" s="189">
        <v>0.048495</v>
      </c>
      <c r="Q44" s="189">
        <v>0.7387717854570588</v>
      </c>
      <c r="R44" s="176">
        <v>0.038619932656388876</v>
      </c>
      <c r="S44" s="188"/>
    </row>
    <row r="45" spans="1:19" ht="12.75">
      <c r="A45">
        <v>44</v>
      </c>
      <c r="B45" s="185" t="s">
        <v>37</v>
      </c>
      <c r="C45" s="186">
        <v>488.374</v>
      </c>
      <c r="D45" s="187">
        <v>560.48</v>
      </c>
      <c r="E45" s="187">
        <v>650.536</v>
      </c>
      <c r="F45" s="187">
        <v>772.9540000000002</v>
      </c>
      <c r="G45" s="187">
        <v>933.624</v>
      </c>
      <c r="H45" s="187">
        <v>1137.4690000000003</v>
      </c>
      <c r="I45" s="187">
        <v>1396.359</v>
      </c>
      <c r="J45" s="187">
        <v>1667.0220000000002</v>
      </c>
      <c r="K45" s="187">
        <v>1936.857</v>
      </c>
      <c r="L45" s="187">
        <v>2325.934</v>
      </c>
      <c r="M45" s="187">
        <v>2721.272</v>
      </c>
      <c r="N45" s="187">
        <f t="shared" si="1"/>
        <v>1396.359</v>
      </c>
      <c r="O45" s="189">
        <f t="shared" si="0"/>
        <v>0.02123311986180254</v>
      </c>
      <c r="P45" s="189">
        <v>0.034925</v>
      </c>
      <c r="Q45" s="189">
        <v>0.7265740505133362</v>
      </c>
      <c r="R45" s="176">
        <v>0.03826098231727192</v>
      </c>
      <c r="S45" s="188"/>
    </row>
    <row r="46" spans="1:19" ht="12.75">
      <c r="A46">
        <v>45</v>
      </c>
      <c r="B46" s="185" t="s">
        <v>149</v>
      </c>
      <c r="C46" s="186">
        <v>1580.2980000000002</v>
      </c>
      <c r="D46" s="187">
        <v>1830.7939999999999</v>
      </c>
      <c r="E46" s="187">
        <v>2125.9529999999995</v>
      </c>
      <c r="F46" s="187">
        <v>2465.205</v>
      </c>
      <c r="G46" s="187">
        <v>2996.873</v>
      </c>
      <c r="H46" s="187">
        <v>3660.7160000000003</v>
      </c>
      <c r="I46" s="187">
        <v>4580.811</v>
      </c>
      <c r="J46" s="187">
        <v>5657.726000000001</v>
      </c>
      <c r="K46" s="187">
        <v>6734.129000000001</v>
      </c>
      <c r="L46" s="187">
        <v>7959.95</v>
      </c>
      <c r="M46" s="187">
        <v>9268.080999999998</v>
      </c>
      <c r="N46" s="187">
        <f t="shared" si="1"/>
        <v>4580.811</v>
      </c>
      <c r="O46" s="189">
        <f t="shared" si="0"/>
        <v>0.021513399227174768</v>
      </c>
      <c r="P46" s="189">
        <v>0.0371515</v>
      </c>
      <c r="Q46" s="189">
        <v>0.5471927994071462</v>
      </c>
      <c r="R46" s="176">
        <v>0.03942886213828505</v>
      </c>
      <c r="S46" s="188"/>
    </row>
    <row r="47" spans="1:19" ht="12.75">
      <c r="A47">
        <v>46</v>
      </c>
      <c r="B47" s="185" t="s">
        <v>56</v>
      </c>
      <c r="C47" s="186">
        <v>2819.999</v>
      </c>
      <c r="D47" s="187">
        <v>2906.099</v>
      </c>
      <c r="E47" s="187">
        <v>2943.085</v>
      </c>
      <c r="F47" s="187">
        <v>3062.8</v>
      </c>
      <c r="G47" s="187">
        <v>3219.7280000000005</v>
      </c>
      <c r="H47" s="187">
        <v>3346.6989999999996</v>
      </c>
      <c r="I47" s="187">
        <v>3453.726</v>
      </c>
      <c r="J47" s="187">
        <v>3530.4</v>
      </c>
      <c r="K47" s="187">
        <v>3590.9990000000007</v>
      </c>
      <c r="L47" s="187">
        <v>3739.88</v>
      </c>
      <c r="M47" s="187">
        <v>3814.1010000000006</v>
      </c>
      <c r="N47" s="187">
        <f t="shared" si="1"/>
        <v>3453.726</v>
      </c>
      <c r="O47" s="189">
        <f t="shared" si="0"/>
        <v>0.0040625723230416355</v>
      </c>
      <c r="P47" s="189">
        <v>0.0149615</v>
      </c>
      <c r="Q47" s="189">
        <v>0.67558</v>
      </c>
      <c r="R47" s="176">
        <v>0.020160225680899087</v>
      </c>
      <c r="S47" s="188"/>
    </row>
    <row r="48" spans="1:19" ht="12.75">
      <c r="A48">
        <v>47</v>
      </c>
      <c r="B48" s="185" t="s">
        <v>150</v>
      </c>
      <c r="C48" s="186">
        <v>3755.52</v>
      </c>
      <c r="D48" s="187">
        <v>4139.896000000001</v>
      </c>
      <c r="E48" s="187">
        <v>4591.44</v>
      </c>
      <c r="F48" s="187">
        <v>4973.139</v>
      </c>
      <c r="G48" s="187">
        <v>5369.738999999999</v>
      </c>
      <c r="H48" s="187">
        <v>5831.307</v>
      </c>
      <c r="I48" s="187">
        <v>6609.101</v>
      </c>
      <c r="J48" s="187">
        <v>7430.034999999999</v>
      </c>
      <c r="K48" s="187">
        <v>8178.906999999997</v>
      </c>
      <c r="L48" s="187">
        <v>8517.02</v>
      </c>
      <c r="M48" s="187">
        <v>8821.988999999998</v>
      </c>
      <c r="N48" s="187">
        <f t="shared" si="1"/>
        <v>6609.101</v>
      </c>
      <c r="O48" s="189">
        <f t="shared" si="0"/>
        <v>0.011368553994001607</v>
      </c>
      <c r="P48" s="189">
        <v>0.014976</v>
      </c>
      <c r="Q48" s="189">
        <v>0.7541520729099667</v>
      </c>
      <c r="R48" s="176">
        <v>0.028241155263183246</v>
      </c>
      <c r="S48" s="188"/>
    </row>
    <row r="49" spans="1:19" ht="12.75">
      <c r="A49">
        <v>48</v>
      </c>
      <c r="B49" s="185" t="s">
        <v>151</v>
      </c>
      <c r="C49" s="186">
        <v>323.65</v>
      </c>
      <c r="D49" s="187">
        <v>348.6209999999999</v>
      </c>
      <c r="E49" s="187">
        <v>362.71800000000013</v>
      </c>
      <c r="F49" s="187">
        <v>381.697</v>
      </c>
      <c r="G49" s="187">
        <v>423.892</v>
      </c>
      <c r="H49" s="187">
        <v>451.38200000000006</v>
      </c>
      <c r="I49" s="187">
        <v>462.109</v>
      </c>
      <c r="J49" s="187">
        <v>483.918</v>
      </c>
      <c r="K49" s="187">
        <v>504.867</v>
      </c>
      <c r="L49" s="187">
        <v>556.0159999999998</v>
      </c>
      <c r="M49" s="187">
        <v>602.612</v>
      </c>
      <c r="N49" s="187">
        <f t="shared" si="1"/>
        <v>462.109</v>
      </c>
      <c r="O49" s="189">
        <f t="shared" si="0"/>
        <v>0.007148189385308257</v>
      </c>
      <c r="P49" s="189">
        <v>0.028854</v>
      </c>
      <c r="Q49" s="189">
        <v>0.67558</v>
      </c>
      <c r="R49" s="176">
        <v>0.02609795809136505</v>
      </c>
      <c r="S49" s="188"/>
    </row>
    <row r="50" spans="1:19" ht="12.75">
      <c r="A50">
        <v>49</v>
      </c>
      <c r="B50" s="185" t="s">
        <v>152</v>
      </c>
      <c r="C50" s="186">
        <v>6778.208</v>
      </c>
      <c r="D50" s="187">
        <v>6836.4</v>
      </c>
      <c r="E50" s="187">
        <v>7065.3</v>
      </c>
      <c r="F50" s="187">
        <v>7419.8009999999995</v>
      </c>
      <c r="G50" s="187">
        <v>7722.905</v>
      </c>
      <c r="H50" s="187">
        <v>7768.999</v>
      </c>
      <c r="I50" s="187">
        <v>7869.825</v>
      </c>
      <c r="J50" s="187">
        <v>7876.498999999999</v>
      </c>
      <c r="K50" s="187">
        <v>8094.878999999999</v>
      </c>
      <c r="L50" s="187">
        <v>8409.674</v>
      </c>
      <c r="M50" s="187">
        <v>8585.367999999999</v>
      </c>
      <c r="N50" s="187">
        <f t="shared" si="1"/>
        <v>7869.825</v>
      </c>
      <c r="O50" s="189">
        <f t="shared" si="0"/>
        <v>0.0029909252304334277</v>
      </c>
      <c r="P50" s="189">
        <v>0.011580000000000002</v>
      </c>
      <c r="Q50" s="189">
        <v>0.7897490394267156</v>
      </c>
      <c r="R50" s="176">
        <v>0.019339747694665003</v>
      </c>
      <c r="S50" s="188"/>
    </row>
    <row r="51" spans="1:19" ht="12.75">
      <c r="A51">
        <v>50</v>
      </c>
      <c r="B51" s="185" t="s">
        <v>153</v>
      </c>
      <c r="C51" s="186">
        <v>6410.662</v>
      </c>
      <c r="D51" s="187">
        <v>6410.407000000001</v>
      </c>
      <c r="E51" s="187">
        <v>7346.495999999999</v>
      </c>
      <c r="F51" s="187">
        <v>8284.494999999999</v>
      </c>
      <c r="G51" s="187">
        <v>8788.44</v>
      </c>
      <c r="H51" s="187">
        <v>9903.001000000002</v>
      </c>
      <c r="I51" s="187">
        <v>11226.648</v>
      </c>
      <c r="J51" s="187">
        <v>12987.566999999997</v>
      </c>
      <c r="K51" s="187">
        <v>14594.693999999998</v>
      </c>
      <c r="L51" s="187">
        <v>15574.82</v>
      </c>
      <c r="M51" s="187">
        <v>16366.58</v>
      </c>
      <c r="N51" s="187">
        <f t="shared" si="1"/>
        <v>11226.648</v>
      </c>
      <c r="O51" s="189">
        <f t="shared" si="0"/>
        <v>0.011269582575370363</v>
      </c>
      <c r="P51" s="189">
        <v>0.019382999999999994</v>
      </c>
      <c r="Q51" s="189">
        <v>0.8227552375590892</v>
      </c>
      <c r="R51" s="176">
        <v>0.03205144145110675</v>
      </c>
      <c r="S51" s="188"/>
    </row>
    <row r="52" spans="1:19" ht="12.75">
      <c r="A52">
        <v>51</v>
      </c>
      <c r="B52" s="185" t="s">
        <v>154</v>
      </c>
      <c r="C52" s="186">
        <v>6861.193</v>
      </c>
      <c r="D52" s="187">
        <v>7630.498</v>
      </c>
      <c r="E52" s="187">
        <v>8582.301000000001</v>
      </c>
      <c r="F52" s="187">
        <v>9841.697999999997</v>
      </c>
      <c r="G52" s="187">
        <v>11393.715999999999</v>
      </c>
      <c r="H52" s="187">
        <v>12660.02</v>
      </c>
      <c r="I52" s="187">
        <v>14539.899000000003</v>
      </c>
      <c r="J52" s="187">
        <v>16673.475</v>
      </c>
      <c r="K52" s="187">
        <v>19534.355</v>
      </c>
      <c r="L52" s="187">
        <v>23730.41</v>
      </c>
      <c r="M52" s="187">
        <v>26102.055</v>
      </c>
      <c r="N52" s="187">
        <f t="shared" si="1"/>
        <v>14539.899000000003</v>
      </c>
      <c r="O52" s="189">
        <f t="shared" si="0"/>
        <v>0.015133675526387336</v>
      </c>
      <c r="P52" s="189">
        <v>0.043992</v>
      </c>
      <c r="Q52" s="189">
        <v>0.6051498396236143</v>
      </c>
      <c r="R52" s="176">
        <v>0.04107691678841264</v>
      </c>
      <c r="S52" s="188"/>
    </row>
    <row r="53" spans="1:19" ht="12.75">
      <c r="A53">
        <v>52</v>
      </c>
      <c r="B53" s="185" t="s">
        <v>155</v>
      </c>
      <c r="C53" s="186">
        <v>3147</v>
      </c>
      <c r="D53" s="187">
        <v>3260.999</v>
      </c>
      <c r="E53" s="187">
        <v>3424.999</v>
      </c>
      <c r="F53" s="187">
        <v>3627.001</v>
      </c>
      <c r="G53" s="187">
        <v>3780.721</v>
      </c>
      <c r="H53" s="187">
        <v>3916.4280000000003</v>
      </c>
      <c r="I53" s="187">
        <v>4054.878</v>
      </c>
      <c r="J53" s="187">
        <v>4170.767</v>
      </c>
      <c r="K53" s="187">
        <v>4264.418000000001</v>
      </c>
      <c r="L53" s="187">
        <v>4320.461</v>
      </c>
      <c r="M53" s="187">
        <v>4348.805</v>
      </c>
      <c r="N53" s="187">
        <f t="shared" si="1"/>
        <v>4054.878</v>
      </c>
      <c r="O53" s="189">
        <f t="shared" si="0"/>
        <v>0.005082290902931108</v>
      </c>
      <c r="P53" s="189">
        <v>0.043707</v>
      </c>
      <c r="Q53" s="189">
        <v>0.67558</v>
      </c>
      <c r="R53" s="176">
        <v>0.018701329367652886</v>
      </c>
      <c r="S53" s="188"/>
    </row>
    <row r="54" spans="1:19" ht="12.75">
      <c r="A54">
        <v>53</v>
      </c>
      <c r="B54" s="185" t="s">
        <v>156</v>
      </c>
      <c r="C54" s="186">
        <v>32.983999999999995</v>
      </c>
      <c r="D54" s="187">
        <v>38.168</v>
      </c>
      <c r="E54" s="187">
        <v>47.565999999999995</v>
      </c>
      <c r="F54" s="187">
        <v>68.83300000000001</v>
      </c>
      <c r="G54" s="187">
        <v>90.50200000000001</v>
      </c>
      <c r="H54" s="187">
        <v>118.40399999999998</v>
      </c>
      <c r="I54" s="187">
        <v>187.306</v>
      </c>
      <c r="J54" s="187">
        <v>186.748</v>
      </c>
      <c r="K54" s="187">
        <v>288.807</v>
      </c>
      <c r="L54" s="187">
        <v>300.38100000000003</v>
      </c>
      <c r="M54" s="187">
        <v>358.82</v>
      </c>
      <c r="N54" s="187">
        <f t="shared" si="1"/>
        <v>187.306</v>
      </c>
      <c r="O54" s="189">
        <f t="shared" si="0"/>
        <v>0.03534470642443632</v>
      </c>
      <c r="P54" s="189">
        <v>0.012355000000000001</v>
      </c>
      <c r="Q54" s="189">
        <v>0.15123871744921633</v>
      </c>
      <c r="R54" s="176">
        <v>0.03544948873873502</v>
      </c>
      <c r="S54" s="188"/>
    </row>
    <row r="55" spans="1:19" ht="12.75">
      <c r="A55">
        <v>54</v>
      </c>
      <c r="B55" s="185" t="s">
        <v>38</v>
      </c>
      <c r="C55" s="186">
        <v>1305.356</v>
      </c>
      <c r="D55" s="187">
        <v>1492.795</v>
      </c>
      <c r="E55" s="187">
        <v>1723.632</v>
      </c>
      <c r="F55" s="187">
        <v>1996.8269999999998</v>
      </c>
      <c r="G55" s="187">
        <v>2328.7589999999996</v>
      </c>
      <c r="H55" s="187">
        <v>2758.1269999999995</v>
      </c>
      <c r="I55" s="187">
        <v>3288.515</v>
      </c>
      <c r="J55" s="187">
        <v>3882.0550000000003</v>
      </c>
      <c r="K55" s="187">
        <v>4349.381</v>
      </c>
      <c r="L55" s="187">
        <v>4891.63</v>
      </c>
      <c r="M55" s="187">
        <v>5567.339</v>
      </c>
      <c r="N55" s="187">
        <f t="shared" si="1"/>
        <v>3288.515</v>
      </c>
      <c r="O55" s="189">
        <f t="shared" si="0"/>
        <v>0.01865100301020628</v>
      </c>
      <c r="P55" s="189">
        <v>0.040928</v>
      </c>
      <c r="Q55" s="189">
        <v>0.9622622760795116</v>
      </c>
      <c r="R55" s="176">
        <v>0.04022311768117527</v>
      </c>
      <c r="S55" s="188"/>
    </row>
    <row r="56" spans="1:19" ht="12.75">
      <c r="A56">
        <v>55</v>
      </c>
      <c r="B56" s="185" t="s">
        <v>157</v>
      </c>
      <c r="C56" s="186">
        <v>257.698</v>
      </c>
      <c r="D56" s="187">
        <v>272.8</v>
      </c>
      <c r="E56" s="187">
        <v>293.1</v>
      </c>
      <c r="F56" s="187">
        <v>318.89900000000006</v>
      </c>
      <c r="G56" s="187">
        <v>350.899</v>
      </c>
      <c r="H56" s="187">
        <v>389.901</v>
      </c>
      <c r="I56" s="187">
        <v>350.714</v>
      </c>
      <c r="J56" s="187">
        <v>395.6939999999999</v>
      </c>
      <c r="K56" s="187">
        <v>432.876</v>
      </c>
      <c r="L56" s="187">
        <v>490.08</v>
      </c>
      <c r="M56" s="187">
        <v>419.889</v>
      </c>
      <c r="N56" s="187">
        <f t="shared" si="1"/>
        <v>350.714</v>
      </c>
      <c r="O56" s="189">
        <f t="shared" si="0"/>
        <v>0.006182688801694702</v>
      </c>
      <c r="P56" s="189">
        <v>0.0161695</v>
      </c>
      <c r="Q56" s="189">
        <v>0.31521395981619954</v>
      </c>
      <c r="R56" s="176">
        <v>0.03841001915153803</v>
      </c>
      <c r="S56" s="188"/>
    </row>
    <row r="57" spans="1:19" ht="12.75">
      <c r="A57">
        <v>56</v>
      </c>
      <c r="B57" s="185" t="s">
        <v>158</v>
      </c>
      <c r="C57" s="186">
        <v>36933.670999999995</v>
      </c>
      <c r="D57" s="187">
        <v>40846.253000000004</v>
      </c>
      <c r="E57" s="187">
        <v>45570.652</v>
      </c>
      <c r="F57" s="187">
        <v>51393.17</v>
      </c>
      <c r="G57" s="187">
        <v>58462.089</v>
      </c>
      <c r="H57" s="187">
        <v>66646.628</v>
      </c>
      <c r="I57" s="187">
        <v>76717.09</v>
      </c>
      <c r="J57" s="187">
        <v>89060.60699999997</v>
      </c>
      <c r="K57" s="187">
        <v>104116.916</v>
      </c>
      <c r="L57" s="187">
        <v>119031.76899999999</v>
      </c>
      <c r="M57" s="187">
        <v>137006.166</v>
      </c>
      <c r="N57" s="187">
        <f t="shared" si="1"/>
        <v>76717.09</v>
      </c>
      <c r="O57" s="189">
        <f t="shared" si="0"/>
        <v>0.014727412620103575</v>
      </c>
      <c r="P57" s="189">
        <v>0.0418265</v>
      </c>
      <c r="Q57" s="189">
        <v>0.6506712120832376</v>
      </c>
      <c r="R57" s="176">
        <v>0.04148348098016827</v>
      </c>
      <c r="S57" s="188"/>
    </row>
    <row r="58" spans="1:19" ht="12.75">
      <c r="A58">
        <v>57</v>
      </c>
      <c r="B58" s="185" t="s">
        <v>159</v>
      </c>
      <c r="C58" s="186">
        <v>442935.0180000001</v>
      </c>
      <c r="D58" s="187">
        <v>464320.41899999994</v>
      </c>
      <c r="E58" s="187">
        <v>491693.39400000003</v>
      </c>
      <c r="F58" s="187">
        <v>536846.812</v>
      </c>
      <c r="G58" s="187">
        <v>610521.8510000001</v>
      </c>
      <c r="H58" s="187">
        <v>681764.863</v>
      </c>
      <c r="I58" s="187">
        <v>774817.4730000001</v>
      </c>
      <c r="J58" s="187">
        <v>887811.815</v>
      </c>
      <c r="K58" s="187">
        <v>988671.258</v>
      </c>
      <c r="L58" s="187">
        <v>1059226.4840000002</v>
      </c>
      <c r="M58" s="187">
        <v>1127790.8509999998</v>
      </c>
      <c r="N58" s="187">
        <f t="shared" si="1"/>
        <v>774817.4730000001</v>
      </c>
      <c r="O58" s="189">
        <f t="shared" si="0"/>
        <v>0.011246863922858008</v>
      </c>
      <c r="P58" s="189">
        <v>0.0262805</v>
      </c>
      <c r="Q58" s="189">
        <v>0.67558</v>
      </c>
      <c r="R58" s="176">
        <v>0.029919416420781716</v>
      </c>
      <c r="S58" s="188"/>
    </row>
    <row r="59" spans="1:19" ht="12.75">
      <c r="A59">
        <v>58</v>
      </c>
      <c r="B59" s="185" t="s">
        <v>160</v>
      </c>
      <c r="C59" s="186">
        <v>158283.67900000003</v>
      </c>
      <c r="D59" s="187">
        <v>173157.91600000003</v>
      </c>
      <c r="E59" s="187">
        <v>179650.85399999996</v>
      </c>
      <c r="F59" s="187">
        <v>190351.34700000007</v>
      </c>
      <c r="G59" s="187">
        <v>204723.285</v>
      </c>
      <c r="H59" s="187">
        <v>218582.24</v>
      </c>
      <c r="I59" s="187">
        <v>228390.68800000002</v>
      </c>
      <c r="J59" s="187">
        <v>233371.561</v>
      </c>
      <c r="K59" s="187">
        <v>239555.264</v>
      </c>
      <c r="L59" s="187">
        <v>244586.479</v>
      </c>
      <c r="M59" s="187">
        <v>249140.71</v>
      </c>
      <c r="N59" s="187">
        <f t="shared" si="1"/>
        <v>228390.68800000002</v>
      </c>
      <c r="O59" s="189">
        <f t="shared" si="0"/>
        <v>0.007360331988984559</v>
      </c>
      <c r="P59" s="189">
        <v>0.0125765</v>
      </c>
      <c r="Q59" s="189">
        <v>0.6848541565005002</v>
      </c>
      <c r="R59" s="176">
        <v>0.021953961753247684</v>
      </c>
      <c r="S59" s="188"/>
    </row>
    <row r="60" spans="1:19" ht="12.75">
      <c r="A60">
        <v>59</v>
      </c>
      <c r="B60" s="185" t="s">
        <v>39</v>
      </c>
      <c r="C60" s="186">
        <v>2049.172</v>
      </c>
      <c r="D60" s="187">
        <v>2253.179</v>
      </c>
      <c r="E60" s="187">
        <v>2510.905</v>
      </c>
      <c r="F60" s="187">
        <v>2847.4320000000002</v>
      </c>
      <c r="G60" s="187">
        <v>3321.443999999999</v>
      </c>
      <c r="H60" s="187">
        <v>3881.2140000000004</v>
      </c>
      <c r="I60" s="187">
        <v>4553.741999999999</v>
      </c>
      <c r="J60" s="187">
        <v>5353.727000000001</v>
      </c>
      <c r="K60" s="187">
        <v>6266.5960000000005</v>
      </c>
      <c r="L60" s="187">
        <v>7286.731999999999</v>
      </c>
      <c r="M60" s="187">
        <v>8367.861</v>
      </c>
      <c r="N60" s="187">
        <f t="shared" si="1"/>
        <v>4553.741999999999</v>
      </c>
      <c r="O60" s="189">
        <f t="shared" si="0"/>
        <v>0.016098476418930252</v>
      </c>
      <c r="P60" s="189">
        <v>0.0273845</v>
      </c>
      <c r="Q60" s="189">
        <v>0.568906153710618</v>
      </c>
      <c r="R60" s="176">
        <v>0.037451141149683204</v>
      </c>
      <c r="S60" s="188"/>
    </row>
    <row r="61" spans="1:19" ht="12.75">
      <c r="A61">
        <v>60</v>
      </c>
      <c r="B61" s="185" t="s">
        <v>161</v>
      </c>
      <c r="C61" s="186">
        <v>13170.12</v>
      </c>
      <c r="D61" s="187">
        <v>14597.606000000002</v>
      </c>
      <c r="E61" s="187">
        <v>16019.606</v>
      </c>
      <c r="F61" s="187">
        <v>17819.346</v>
      </c>
      <c r="G61" s="187">
        <v>20684.094999999994</v>
      </c>
      <c r="H61" s="187">
        <v>23305.018</v>
      </c>
      <c r="I61" s="187">
        <v>26458.371</v>
      </c>
      <c r="J61" s="187">
        <v>30080.281000000006</v>
      </c>
      <c r="K61" s="187">
        <v>33774.369000000006</v>
      </c>
      <c r="L61" s="187">
        <v>38233.609</v>
      </c>
      <c r="M61" s="187">
        <v>43880.087</v>
      </c>
      <c r="N61" s="187">
        <f t="shared" si="1"/>
        <v>26458.371</v>
      </c>
      <c r="O61" s="189">
        <f t="shared" si="0"/>
        <v>0.014050228849503021</v>
      </c>
      <c r="P61" s="189">
        <v>0.0321945</v>
      </c>
      <c r="Q61" s="189">
        <v>0.7236178552839311</v>
      </c>
      <c r="R61" s="176">
        <v>0.036550586623127414</v>
      </c>
      <c r="S61" s="188"/>
    </row>
    <row r="62" spans="1:19" ht="12.75">
      <c r="A62">
        <v>61</v>
      </c>
      <c r="B62" s="185" t="s">
        <v>40</v>
      </c>
      <c r="C62" s="186">
        <v>1110.7089999999998</v>
      </c>
      <c r="D62" s="187">
        <v>1234.1289999999997</v>
      </c>
      <c r="E62" s="187">
        <v>1389.191</v>
      </c>
      <c r="F62" s="187">
        <v>1608.4180000000003</v>
      </c>
      <c r="G62" s="187">
        <v>1929.528</v>
      </c>
      <c r="H62" s="187">
        <v>2241.092</v>
      </c>
      <c r="I62" s="187">
        <v>2525.738</v>
      </c>
      <c r="J62" s="187">
        <v>2692.093</v>
      </c>
      <c r="K62" s="187">
        <v>3026.3809999999994</v>
      </c>
      <c r="L62" s="187">
        <v>3549.913</v>
      </c>
      <c r="M62" s="187">
        <v>4043.2729999999997</v>
      </c>
      <c r="N62" s="187">
        <f t="shared" si="1"/>
        <v>2525.738</v>
      </c>
      <c r="O62" s="189">
        <f t="shared" si="0"/>
        <v>0.01656642114972029</v>
      </c>
      <c r="P62" s="189">
        <v>0.026801000000000005</v>
      </c>
      <c r="Q62" s="189">
        <v>0.5895378520793265</v>
      </c>
      <c r="R62" s="176">
        <v>0.040858782370484056</v>
      </c>
      <c r="S62" s="188"/>
    </row>
    <row r="63" spans="1:19" ht="12.75">
      <c r="A63">
        <v>62</v>
      </c>
      <c r="B63" s="185" t="s">
        <v>162</v>
      </c>
      <c r="C63" s="186">
        <v>148.35300000000004</v>
      </c>
      <c r="D63" s="187">
        <v>152.25</v>
      </c>
      <c r="E63" s="187">
        <v>157.64600000000004</v>
      </c>
      <c r="F63" s="187">
        <v>164.523</v>
      </c>
      <c r="G63" s="187">
        <v>176.846</v>
      </c>
      <c r="H63" s="187">
        <v>134.79</v>
      </c>
      <c r="I63" s="187">
        <v>127.92</v>
      </c>
      <c r="J63" s="187">
        <v>182.478</v>
      </c>
      <c r="K63" s="187">
        <v>202.915</v>
      </c>
      <c r="L63" s="187">
        <v>227.08</v>
      </c>
      <c r="M63" s="187">
        <v>257.00399999999996</v>
      </c>
      <c r="N63" s="187">
        <f t="shared" si="1"/>
        <v>127.92</v>
      </c>
      <c r="O63" s="189">
        <f t="shared" si="0"/>
        <v>-0.0029594023192633934</v>
      </c>
      <c r="P63" s="189">
        <v>0.0486055</v>
      </c>
      <c r="Q63" s="189">
        <v>0.8824870363772083</v>
      </c>
      <c r="R63" s="176">
        <v>0.03401052814241737</v>
      </c>
      <c r="S63" s="188"/>
    </row>
    <row r="64" spans="1:19" ht="12.75">
      <c r="A64">
        <v>63</v>
      </c>
      <c r="B64" s="185" t="s">
        <v>163</v>
      </c>
      <c r="C64" s="186">
        <v>623.9</v>
      </c>
      <c r="D64" s="187">
        <v>698.8989999999998</v>
      </c>
      <c r="E64" s="187">
        <v>789.7</v>
      </c>
      <c r="F64" s="187">
        <v>898.103</v>
      </c>
      <c r="G64" s="187">
        <v>1013.8</v>
      </c>
      <c r="H64" s="187">
        <v>1157.901</v>
      </c>
      <c r="I64" s="187">
        <v>1327.7</v>
      </c>
      <c r="J64" s="187">
        <v>1511.319</v>
      </c>
      <c r="K64" s="187">
        <v>1735.931</v>
      </c>
      <c r="L64" s="187">
        <v>1780.701</v>
      </c>
      <c r="M64" s="187">
        <v>2051.16</v>
      </c>
      <c r="N64" s="187">
        <f t="shared" si="1"/>
        <v>1327.7</v>
      </c>
      <c r="O64" s="189">
        <f t="shared" si="0"/>
        <v>0.015218911948801095</v>
      </c>
      <c r="P64" s="189">
        <v>0.0433245</v>
      </c>
      <c r="Q64" s="189">
        <v>0.7920979905125761</v>
      </c>
      <c r="R64" s="176">
        <v>0.04056589818932549</v>
      </c>
      <c r="S64" s="188"/>
    </row>
    <row r="65" spans="1:19" ht="12.75">
      <c r="A65">
        <v>64</v>
      </c>
      <c r="B65" s="185" t="s">
        <v>57</v>
      </c>
      <c r="C65" s="186">
        <v>819.5030000000002</v>
      </c>
      <c r="D65" s="187">
        <v>885.0630000000001</v>
      </c>
      <c r="E65" s="187">
        <v>940.104</v>
      </c>
      <c r="F65" s="187">
        <v>995.8679999999999</v>
      </c>
      <c r="G65" s="187">
        <v>1063.665</v>
      </c>
      <c r="H65" s="187">
        <v>1119.952</v>
      </c>
      <c r="I65" s="187">
        <v>1153.2120000000002</v>
      </c>
      <c r="J65" s="187">
        <v>1177.9459999999997</v>
      </c>
      <c r="K65" s="187">
        <v>1222.769</v>
      </c>
      <c r="L65" s="187">
        <v>1179.795</v>
      </c>
      <c r="M65" s="187">
        <v>1146.9370000000001</v>
      </c>
      <c r="N65" s="187">
        <f t="shared" si="1"/>
        <v>1153.2120000000002</v>
      </c>
      <c r="O65" s="189">
        <f t="shared" si="0"/>
        <v>0.0068555587431262666</v>
      </c>
      <c r="P65" s="189">
        <v>0.012140000000000001</v>
      </c>
      <c r="Q65" s="189">
        <v>0.5960239300411521</v>
      </c>
      <c r="R65" s="176">
        <v>0.01928597275206269</v>
      </c>
      <c r="S65" s="188"/>
    </row>
    <row r="66" spans="1:19" ht="12.75">
      <c r="A66">
        <v>65</v>
      </c>
      <c r="B66" s="185" t="s">
        <v>164</v>
      </c>
      <c r="C66" s="186">
        <v>10298.497</v>
      </c>
      <c r="D66" s="187">
        <v>11353.171999999997</v>
      </c>
      <c r="E66" s="187">
        <v>12648.562999999996</v>
      </c>
      <c r="F66" s="187">
        <v>14204.432</v>
      </c>
      <c r="G66" s="187">
        <v>16034.148</v>
      </c>
      <c r="H66" s="187">
        <v>18139.22</v>
      </c>
      <c r="I66" s="187">
        <v>19514.307</v>
      </c>
      <c r="J66" s="187">
        <v>22618.954999999994</v>
      </c>
      <c r="K66" s="187">
        <v>26361.654</v>
      </c>
      <c r="L66" s="187">
        <v>30620.688</v>
      </c>
      <c r="M66" s="187">
        <v>34493.771</v>
      </c>
      <c r="N66" s="187">
        <f t="shared" si="1"/>
        <v>19514.307</v>
      </c>
      <c r="O66" s="189">
        <f t="shared" si="0"/>
        <v>0.01286505030753693</v>
      </c>
      <c r="P66" s="189">
        <v>0.043687000000000004</v>
      </c>
      <c r="Q66" s="189">
        <v>0.6963747971598472</v>
      </c>
      <c r="R66" s="176">
        <v>0.04027939153108098</v>
      </c>
      <c r="S66" s="188"/>
    </row>
    <row r="67" spans="1:19" ht="12.75">
      <c r="A67">
        <v>66</v>
      </c>
      <c r="B67" s="185" t="s">
        <v>165</v>
      </c>
      <c r="C67" s="186">
        <v>404785.04600000003</v>
      </c>
      <c r="D67" s="187">
        <v>428669.056</v>
      </c>
      <c r="E67" s="187">
        <v>443561.26700000005</v>
      </c>
      <c r="F67" s="187">
        <v>466488.63</v>
      </c>
      <c r="G67" s="187">
        <v>490256.7309999999</v>
      </c>
      <c r="H67" s="187">
        <v>515803.74199999997</v>
      </c>
      <c r="I67" s="187">
        <v>539478.2660000001</v>
      </c>
      <c r="J67" s="187">
        <v>556435.3539999999</v>
      </c>
      <c r="K67" s="187">
        <v>574433.0630000001</v>
      </c>
      <c r="L67" s="187">
        <v>588257.56</v>
      </c>
      <c r="M67" s="187">
        <v>600264.1340000001</v>
      </c>
      <c r="N67" s="187">
        <f aca="true" t="shared" si="2" ref="N67:N130">HLOOKUP($N$1,$C$1:$M$214,A67+1)</f>
        <v>539478.2660000001</v>
      </c>
      <c r="O67" s="189">
        <f aca="true" t="shared" si="3" ref="O67:O130">(N67/C67)^(1/50)-1</f>
        <v>0.005761460193452805</v>
      </c>
      <c r="P67" s="189">
        <v>0.051432500000000006</v>
      </c>
      <c r="Q67" s="189">
        <v>0.67558</v>
      </c>
      <c r="R67" s="176">
        <v>0.020355311452708285</v>
      </c>
      <c r="S67" s="188"/>
    </row>
    <row r="68" spans="1:19" ht="12.75">
      <c r="A68">
        <v>67</v>
      </c>
      <c r="B68" s="185" t="s">
        <v>166</v>
      </c>
      <c r="C68" s="186">
        <v>153.994</v>
      </c>
      <c r="D68" s="187">
        <v>175.994</v>
      </c>
      <c r="E68" s="187">
        <v>204.995</v>
      </c>
      <c r="F68" s="187">
        <v>246.62199999999999</v>
      </c>
      <c r="G68" s="187">
        <v>293.8610000000001</v>
      </c>
      <c r="H68" s="187">
        <v>346.4</v>
      </c>
      <c r="I68" s="187">
        <v>385.86300000000006</v>
      </c>
      <c r="J68" s="187">
        <v>434.46900000000005</v>
      </c>
      <c r="K68" s="187">
        <v>449.61</v>
      </c>
      <c r="L68" s="187">
        <v>493.63699999999994</v>
      </c>
      <c r="M68" s="187">
        <v>542.28</v>
      </c>
      <c r="N68" s="187">
        <f t="shared" si="2"/>
        <v>385.86300000000006</v>
      </c>
      <c r="O68" s="189">
        <f t="shared" si="3"/>
        <v>0.018541166755058125</v>
      </c>
      <c r="P68" s="189">
        <v>0.036459000000000005</v>
      </c>
      <c r="Q68" s="189">
        <v>0.9239610213511978</v>
      </c>
      <c r="R68" s="176">
        <v>0.04015160231292892</v>
      </c>
      <c r="S68" s="188"/>
    </row>
    <row r="69" spans="1:19" ht="12.75">
      <c r="A69">
        <v>68</v>
      </c>
      <c r="B69" s="185" t="s">
        <v>167</v>
      </c>
      <c r="C69" s="186">
        <v>2807</v>
      </c>
      <c r="D69" s="187">
        <v>2937.001</v>
      </c>
      <c r="E69" s="187">
        <v>3083.001</v>
      </c>
      <c r="F69" s="187">
        <v>3328.001</v>
      </c>
      <c r="G69" s="187">
        <v>3473</v>
      </c>
      <c r="H69" s="187">
        <v>3674.347</v>
      </c>
      <c r="I69" s="187">
        <v>3808.9269999999997</v>
      </c>
      <c r="J69" s="187">
        <v>3950.69</v>
      </c>
      <c r="K69" s="187">
        <v>4023.2890000000007</v>
      </c>
      <c r="L69" s="187">
        <v>4135.793</v>
      </c>
      <c r="M69" s="187">
        <v>4238.563</v>
      </c>
      <c r="N69" s="187">
        <f t="shared" si="2"/>
        <v>3808.9269999999997</v>
      </c>
      <c r="O69" s="189">
        <f t="shared" si="3"/>
        <v>0.006123295690283026</v>
      </c>
      <c r="P69" s="189">
        <v>0.01334</v>
      </c>
      <c r="Q69" s="189">
        <v>0.9549094382300041</v>
      </c>
      <c r="R69" s="176">
        <v>0.020876520411779852</v>
      </c>
      <c r="S69" s="188"/>
    </row>
    <row r="70" spans="1:19" ht="12.75">
      <c r="A70">
        <v>69</v>
      </c>
      <c r="B70" s="185" t="s">
        <v>168</v>
      </c>
      <c r="C70" s="186">
        <v>32330.633999999995</v>
      </c>
      <c r="D70" s="187">
        <v>32806.999</v>
      </c>
      <c r="E70" s="187">
        <v>33636.999</v>
      </c>
      <c r="F70" s="187">
        <v>36272.85100000001</v>
      </c>
      <c r="G70" s="187">
        <v>38168.24100000001</v>
      </c>
      <c r="H70" s="187">
        <v>40104.644000000015</v>
      </c>
      <c r="I70" s="187">
        <v>41875.2</v>
      </c>
      <c r="J70" s="187">
        <v>43562.068</v>
      </c>
      <c r="K70" s="187">
        <v>45247.838</v>
      </c>
      <c r="L70" s="187">
        <v>46789.435999999994</v>
      </c>
      <c r="M70" s="187">
        <v>48140.149000000005</v>
      </c>
      <c r="N70" s="187">
        <f t="shared" si="2"/>
        <v>41875.2</v>
      </c>
      <c r="O70" s="189">
        <f t="shared" si="3"/>
        <v>0.005186977317766184</v>
      </c>
      <c r="P70" s="189">
        <v>0.01204</v>
      </c>
      <c r="Q70" s="189">
        <v>0.6762739417023562</v>
      </c>
      <c r="R70" s="176">
        <v>0.019314605938081823</v>
      </c>
      <c r="S70" s="188"/>
    </row>
    <row r="71" spans="1:19" ht="12.75">
      <c r="A71">
        <v>70</v>
      </c>
      <c r="B71" s="185" t="s">
        <v>169</v>
      </c>
      <c r="C71" s="186">
        <v>17.66</v>
      </c>
      <c r="D71" s="187">
        <v>18.570999999999998</v>
      </c>
      <c r="E71" s="187">
        <v>20.188000000000002</v>
      </c>
      <c r="F71" s="187">
        <v>24.645</v>
      </c>
      <c r="G71" s="187">
        <v>29.420999999999996</v>
      </c>
      <c r="H71" s="187">
        <v>34.291</v>
      </c>
      <c r="I71" s="187">
        <v>44.902</v>
      </c>
      <c r="J71" s="187">
        <v>58.96799999999999</v>
      </c>
      <c r="K71" s="187">
        <v>77.533</v>
      </c>
      <c r="L71" s="187">
        <v>90.167</v>
      </c>
      <c r="M71" s="187">
        <v>107.47600000000001</v>
      </c>
      <c r="N71" s="187">
        <f t="shared" si="2"/>
        <v>44.902</v>
      </c>
      <c r="O71" s="189">
        <f t="shared" si="3"/>
        <v>0.01883885646588279</v>
      </c>
      <c r="P71" s="189">
        <v>0.0295705</v>
      </c>
      <c r="Q71" s="189">
        <v>0.636613002595525</v>
      </c>
      <c r="R71" s="176">
        <v>0.029207090093276745</v>
      </c>
      <c r="S71" s="188"/>
    </row>
    <row r="72" spans="1:19" ht="12.75">
      <c r="A72">
        <v>71</v>
      </c>
      <c r="B72" s="185" t="s">
        <v>170</v>
      </c>
      <c r="C72" s="186">
        <v>33.637</v>
      </c>
      <c r="D72" s="187">
        <v>38.458999999999996</v>
      </c>
      <c r="E72" s="187">
        <v>43.96699999999999</v>
      </c>
      <c r="F72" s="187">
        <v>50.19899999999999</v>
      </c>
      <c r="G72" s="187">
        <v>59.93900000000001</v>
      </c>
      <c r="H72" s="187">
        <v>75.248</v>
      </c>
      <c r="I72" s="187">
        <v>90.70400000000001</v>
      </c>
      <c r="J72" s="187">
        <v>108.67</v>
      </c>
      <c r="K72" s="187">
        <v>126.378</v>
      </c>
      <c r="L72" s="187">
        <v>142.564</v>
      </c>
      <c r="M72" s="187">
        <v>161.36</v>
      </c>
      <c r="N72" s="187">
        <f t="shared" si="2"/>
        <v>90.70400000000001</v>
      </c>
      <c r="O72" s="189">
        <f t="shared" si="3"/>
        <v>0.020037606893596127</v>
      </c>
      <c r="P72" s="189">
        <v>0.0307515</v>
      </c>
      <c r="Q72" s="189">
        <v>0.7341442349904476</v>
      </c>
      <c r="R72" s="176">
        <v>0.03758725397034539</v>
      </c>
      <c r="S72" s="188"/>
    </row>
    <row r="73" spans="1:19" ht="12.75">
      <c r="A73">
        <v>72</v>
      </c>
      <c r="B73" s="185" t="s">
        <v>171</v>
      </c>
      <c r="C73" s="186">
        <v>323.138</v>
      </c>
      <c r="D73" s="187">
        <v>325.182</v>
      </c>
      <c r="E73" s="187">
        <v>329.146</v>
      </c>
      <c r="F73" s="187">
        <v>335.05</v>
      </c>
      <c r="G73" s="187">
        <v>341.02200000000016</v>
      </c>
      <c r="H73" s="187">
        <v>396.559</v>
      </c>
      <c r="I73" s="187">
        <v>454.788</v>
      </c>
      <c r="J73" s="187">
        <v>518.679</v>
      </c>
      <c r="K73" s="187">
        <v>590.353</v>
      </c>
      <c r="L73" s="187">
        <v>663.9130000000002</v>
      </c>
      <c r="M73" s="187">
        <v>735.8639999999998</v>
      </c>
      <c r="N73" s="187">
        <f t="shared" si="2"/>
        <v>454.788</v>
      </c>
      <c r="O73" s="189">
        <f t="shared" si="3"/>
        <v>0.006858450177698261</v>
      </c>
      <c r="P73" s="189">
        <v>0.0435925</v>
      </c>
      <c r="Q73" s="189">
        <v>0.9041508105996874</v>
      </c>
      <c r="R73" s="176">
        <v>0.02867225170272445</v>
      </c>
      <c r="S73" s="188"/>
    </row>
    <row r="74" spans="1:19" ht="12.75">
      <c r="A74">
        <v>73</v>
      </c>
      <c r="B74" s="185" t="s">
        <v>172</v>
      </c>
      <c r="C74" s="186">
        <v>177.79799999999994</v>
      </c>
      <c r="D74" s="187">
        <v>189.04299999999998</v>
      </c>
      <c r="E74" s="187">
        <v>212.595</v>
      </c>
      <c r="F74" s="187">
        <v>240.20299999999995</v>
      </c>
      <c r="G74" s="187">
        <v>270.242</v>
      </c>
      <c r="H74" s="187">
        <v>317.18700000000007</v>
      </c>
      <c r="I74" s="187">
        <v>367.74199999999996</v>
      </c>
      <c r="J74" s="187">
        <v>428.22600000000006</v>
      </c>
      <c r="K74" s="187">
        <v>539.4920000000001</v>
      </c>
      <c r="L74" s="187">
        <v>659.2239999999999</v>
      </c>
      <c r="M74" s="187">
        <v>778.194</v>
      </c>
      <c r="N74" s="187">
        <f t="shared" si="2"/>
        <v>367.74199999999996</v>
      </c>
      <c r="O74" s="189">
        <f t="shared" si="3"/>
        <v>0.01464081256587213</v>
      </c>
      <c r="P74" s="189">
        <v>0.043210000000000005</v>
      </c>
      <c r="Q74" s="189">
        <v>0.7609876759064207</v>
      </c>
      <c r="R74" s="176">
        <v>0.03432546053359933</v>
      </c>
      <c r="S74" s="188"/>
    </row>
    <row r="75" spans="1:19" ht="12.75">
      <c r="A75">
        <v>74</v>
      </c>
      <c r="B75" s="185" t="s">
        <v>173</v>
      </c>
      <c r="C75" s="186">
        <v>2579.8590000000004</v>
      </c>
      <c r="D75" s="187">
        <v>2867.6090000000004</v>
      </c>
      <c r="E75" s="187">
        <v>2966.6</v>
      </c>
      <c r="F75" s="187">
        <v>3064.786</v>
      </c>
      <c r="G75" s="187">
        <v>3264.479</v>
      </c>
      <c r="H75" s="187">
        <v>3516.293</v>
      </c>
      <c r="I75" s="187">
        <v>3767.261000000001</v>
      </c>
      <c r="J75" s="187">
        <v>3957.2639999999997</v>
      </c>
      <c r="K75" s="187">
        <v>4116.939</v>
      </c>
      <c r="L75" s="187">
        <v>4117.168000000001</v>
      </c>
      <c r="M75" s="187">
        <v>4185.125</v>
      </c>
      <c r="N75" s="187">
        <f t="shared" si="2"/>
        <v>3767.261000000001</v>
      </c>
      <c r="O75" s="189">
        <f t="shared" si="3"/>
        <v>0.007601011451966677</v>
      </c>
      <c r="P75" s="189">
        <v>0.018263500000000002</v>
      </c>
      <c r="Q75" s="189">
        <v>0.9481486100435501</v>
      </c>
      <c r="R75" s="176">
        <v>0.023444843820680506</v>
      </c>
      <c r="S75" s="188"/>
    </row>
    <row r="76" spans="1:19" ht="12.75">
      <c r="A76">
        <v>75</v>
      </c>
      <c r="B76" s="185" t="s">
        <v>174</v>
      </c>
      <c r="C76" s="186">
        <v>52522</v>
      </c>
      <c r="D76" s="187">
        <v>55420</v>
      </c>
      <c r="E76" s="187">
        <v>57323.712</v>
      </c>
      <c r="F76" s="187">
        <v>58605.077</v>
      </c>
      <c r="G76" s="187">
        <v>60019.415</v>
      </c>
      <c r="H76" s="187">
        <v>61742.46399999999</v>
      </c>
      <c r="I76" s="187">
        <v>63814.711</v>
      </c>
      <c r="J76" s="187">
        <v>65243.96200000001</v>
      </c>
      <c r="K76" s="187">
        <v>66658.045</v>
      </c>
      <c r="L76" s="187">
        <v>68397.328</v>
      </c>
      <c r="M76" s="187">
        <v>69277.848</v>
      </c>
      <c r="N76" s="187">
        <f t="shared" si="2"/>
        <v>63814.711</v>
      </c>
      <c r="O76" s="189">
        <f t="shared" si="3"/>
        <v>0.0039026277819762534</v>
      </c>
      <c r="P76" s="189">
        <v>0.01326</v>
      </c>
      <c r="Q76" s="189">
        <v>0.9794182431129522</v>
      </c>
      <c r="R76" s="176">
        <v>0.017273674007038244</v>
      </c>
      <c r="S76" s="188"/>
    </row>
    <row r="77" spans="1:19" ht="12.75">
      <c r="A77">
        <v>76</v>
      </c>
      <c r="B77" s="185" t="s">
        <v>175</v>
      </c>
      <c r="C77" s="186">
        <v>2690.001</v>
      </c>
      <c r="D77" s="187">
        <v>3151.0370000000007</v>
      </c>
      <c r="E77" s="187">
        <v>3688.658</v>
      </c>
      <c r="F77" s="187">
        <v>4251.0830000000005</v>
      </c>
      <c r="G77" s="187">
        <v>4685.294</v>
      </c>
      <c r="H77" s="187">
        <v>5356.436000000001</v>
      </c>
      <c r="I77" s="187">
        <v>5941.803</v>
      </c>
      <c r="J77" s="187">
        <v>7046.944</v>
      </c>
      <c r="K77" s="187">
        <v>8274.939</v>
      </c>
      <c r="L77" s="187">
        <v>9743.885000000002</v>
      </c>
      <c r="M77" s="187">
        <v>11404.752000000002</v>
      </c>
      <c r="N77" s="187">
        <f t="shared" si="2"/>
        <v>5941.803</v>
      </c>
      <c r="O77" s="189">
        <f t="shared" si="3"/>
        <v>0.01597568943259442</v>
      </c>
      <c r="P77" s="189">
        <v>0.042992</v>
      </c>
      <c r="Q77" s="189">
        <v>0.689544223049433</v>
      </c>
      <c r="R77" s="176">
        <v>0.04170187299811293</v>
      </c>
      <c r="S77" s="188"/>
    </row>
    <row r="78" spans="1:19" ht="12.75">
      <c r="A78">
        <v>77</v>
      </c>
      <c r="B78" s="185" t="s">
        <v>176</v>
      </c>
      <c r="C78" s="186">
        <v>5398</v>
      </c>
      <c r="D78" s="187">
        <v>5857.001</v>
      </c>
      <c r="E78" s="187">
        <v>6125.779000000001</v>
      </c>
      <c r="F78" s="187">
        <v>6374</v>
      </c>
      <c r="G78" s="187">
        <v>6606.799</v>
      </c>
      <c r="H78" s="187">
        <v>6886.089</v>
      </c>
      <c r="I78" s="187">
        <v>7442.723999999999</v>
      </c>
      <c r="J78" s="187">
        <v>7818.97</v>
      </c>
      <c r="K78" s="187">
        <v>8204.766</v>
      </c>
      <c r="L78" s="187">
        <v>8692.875000000002</v>
      </c>
      <c r="M78" s="187">
        <v>9011.989</v>
      </c>
      <c r="N78" s="187">
        <f t="shared" si="2"/>
        <v>7442.723999999999</v>
      </c>
      <c r="O78" s="189">
        <f t="shared" si="3"/>
        <v>0.006444847150774091</v>
      </c>
      <c r="P78" s="189">
        <v>0.0119</v>
      </c>
      <c r="Q78" s="189">
        <v>0.8605724302096203</v>
      </c>
      <c r="R78" s="176">
        <v>0.020776409073409306</v>
      </c>
      <c r="S78" s="188"/>
    </row>
    <row r="79" spans="1:19" ht="12.75">
      <c r="A79">
        <v>78</v>
      </c>
      <c r="B79" s="185" t="s">
        <v>177</v>
      </c>
      <c r="C79" s="186">
        <v>126.999</v>
      </c>
      <c r="D79" s="187">
        <v>139.00100000000003</v>
      </c>
      <c r="E79" s="187">
        <v>156.60100000000003</v>
      </c>
      <c r="F79" s="187">
        <v>167.1</v>
      </c>
      <c r="G79" s="187">
        <v>182.9</v>
      </c>
      <c r="H79" s="187">
        <v>190.6</v>
      </c>
      <c r="I79" s="187">
        <v>218.09300000000002</v>
      </c>
      <c r="J79" s="187">
        <v>248.932</v>
      </c>
      <c r="K79" s="187">
        <v>286.59</v>
      </c>
      <c r="L79" s="187">
        <v>305.114</v>
      </c>
      <c r="M79" s="187">
        <v>322.827</v>
      </c>
      <c r="N79" s="187">
        <f t="shared" si="2"/>
        <v>218.09300000000002</v>
      </c>
      <c r="O79" s="189">
        <f t="shared" si="3"/>
        <v>0.010873539149587996</v>
      </c>
      <c r="P79" s="189">
        <v>0.028809499999999995</v>
      </c>
      <c r="Q79" s="189">
        <v>0.67558</v>
      </c>
      <c r="R79" s="176">
        <v>0.03359802300058806</v>
      </c>
      <c r="S79" s="188"/>
    </row>
    <row r="80" spans="1:19" ht="12.75">
      <c r="A80">
        <v>79</v>
      </c>
      <c r="B80" s="185" t="s">
        <v>178</v>
      </c>
      <c r="C80" s="186">
        <v>43.477</v>
      </c>
      <c r="D80" s="187">
        <v>41.576</v>
      </c>
      <c r="E80" s="187">
        <v>40.029</v>
      </c>
      <c r="F80" s="187">
        <v>45.405</v>
      </c>
      <c r="G80" s="187">
        <v>51.568999999999996</v>
      </c>
      <c r="H80" s="187">
        <v>59.785999999999994</v>
      </c>
      <c r="I80" s="187">
        <v>69.39200000000001</v>
      </c>
      <c r="J80" s="187">
        <v>80.68899999999998</v>
      </c>
      <c r="K80" s="187">
        <v>93.51100000000001</v>
      </c>
      <c r="L80" s="187">
        <v>97.24699999999999</v>
      </c>
      <c r="M80" s="187">
        <v>101.261</v>
      </c>
      <c r="N80" s="187">
        <f t="shared" si="2"/>
        <v>69.39200000000001</v>
      </c>
      <c r="O80" s="189">
        <f t="shared" si="3"/>
        <v>0.009394645717699213</v>
      </c>
      <c r="P80" s="189">
        <v>0.030836999999999996</v>
      </c>
      <c r="Q80" s="189">
        <v>0.67558</v>
      </c>
      <c r="R80" s="176">
        <v>0.029622681949356175</v>
      </c>
      <c r="S80" s="188"/>
    </row>
    <row r="81" spans="1:19" ht="12.75">
      <c r="A81">
        <v>80</v>
      </c>
      <c r="B81" s="185" t="s">
        <v>179</v>
      </c>
      <c r="C81" s="186">
        <v>1660.086</v>
      </c>
      <c r="D81" s="187">
        <v>1881.4160000000002</v>
      </c>
      <c r="E81" s="187">
        <v>2138.648</v>
      </c>
      <c r="F81" s="187">
        <v>2447.65</v>
      </c>
      <c r="G81" s="187">
        <v>2839.7350000000006</v>
      </c>
      <c r="H81" s="187">
        <v>3270.329</v>
      </c>
      <c r="I81" s="187">
        <v>3684.433999999999</v>
      </c>
      <c r="J81" s="187">
        <v>4153.319</v>
      </c>
      <c r="K81" s="187">
        <v>4729.207</v>
      </c>
      <c r="L81" s="187">
        <v>5481.254</v>
      </c>
      <c r="M81" s="187">
        <v>6420.104</v>
      </c>
      <c r="N81" s="187">
        <f t="shared" si="2"/>
        <v>3684.433999999999</v>
      </c>
      <c r="O81" s="189">
        <f t="shared" si="3"/>
        <v>0.01607274926343316</v>
      </c>
      <c r="P81" s="189">
        <v>0.0301425</v>
      </c>
      <c r="Q81" s="189">
        <v>0.48540992109434833</v>
      </c>
      <c r="R81" s="176">
        <v>0.0424756058745562</v>
      </c>
      <c r="S81" s="188"/>
    </row>
    <row r="82" spans="1:19" ht="12.75">
      <c r="A82">
        <v>81</v>
      </c>
      <c r="B82" s="185" t="s">
        <v>180</v>
      </c>
      <c r="C82" s="186">
        <v>1469.7120000000002</v>
      </c>
      <c r="D82" s="187">
        <v>1600.99</v>
      </c>
      <c r="E82" s="187">
        <v>1744.7610000000002</v>
      </c>
      <c r="F82" s="187">
        <v>1915.6579999999997</v>
      </c>
      <c r="G82" s="187">
        <v>2140.576</v>
      </c>
      <c r="H82" s="187">
        <v>2248.815</v>
      </c>
      <c r="I82" s="187">
        <v>2563.96</v>
      </c>
      <c r="J82" s="187">
        <v>2895.4979999999996</v>
      </c>
      <c r="K82" s="187">
        <v>3328.024</v>
      </c>
      <c r="L82" s="187">
        <v>4039.0430000000006</v>
      </c>
      <c r="M82" s="187">
        <v>4562.308000000001</v>
      </c>
      <c r="N82" s="187">
        <f t="shared" si="2"/>
        <v>2563.96</v>
      </c>
      <c r="O82" s="189">
        <f t="shared" si="3"/>
        <v>0.011191895356723158</v>
      </c>
      <c r="P82" s="189">
        <v>0.0394045</v>
      </c>
      <c r="Q82" s="189">
        <v>0.6665711579370757</v>
      </c>
      <c r="R82" s="176">
        <v>0.0401248970974366</v>
      </c>
      <c r="S82" s="188"/>
    </row>
    <row r="83" spans="1:19" ht="12.75">
      <c r="A83">
        <v>82</v>
      </c>
      <c r="B83" s="185" t="s">
        <v>181</v>
      </c>
      <c r="C83" s="186">
        <v>317.196</v>
      </c>
      <c r="D83" s="187">
        <v>328.6119999999999</v>
      </c>
      <c r="E83" s="187">
        <v>341.805</v>
      </c>
      <c r="F83" s="187">
        <v>338.045</v>
      </c>
      <c r="G83" s="187">
        <v>348.323</v>
      </c>
      <c r="H83" s="187">
        <v>375.694</v>
      </c>
      <c r="I83" s="187">
        <v>449.696</v>
      </c>
      <c r="J83" s="187">
        <v>493.097</v>
      </c>
      <c r="K83" s="187">
        <v>545.2420000000001</v>
      </c>
      <c r="L83" s="187">
        <v>614.7719999999999</v>
      </c>
      <c r="M83" s="187">
        <v>677.7590000000002</v>
      </c>
      <c r="N83" s="187">
        <f t="shared" si="2"/>
        <v>449.696</v>
      </c>
      <c r="O83" s="189">
        <f t="shared" si="3"/>
        <v>0.0070054626425297695</v>
      </c>
      <c r="P83" s="189">
        <v>0.045392499999999995</v>
      </c>
      <c r="Q83" s="189">
        <v>0.9160089331200545</v>
      </c>
      <c r="R83" s="176">
        <v>0.03516174349115452</v>
      </c>
      <c r="S83" s="188"/>
    </row>
    <row r="84" spans="1:19" ht="12.75">
      <c r="A84">
        <v>83</v>
      </c>
      <c r="B84" s="185" t="s">
        <v>41</v>
      </c>
      <c r="C84" s="186">
        <v>249.2</v>
      </c>
      <c r="D84" s="187">
        <v>266.29800000000006</v>
      </c>
      <c r="E84" s="187">
        <v>292.9</v>
      </c>
      <c r="F84" s="187">
        <v>341.2</v>
      </c>
      <c r="G84" s="187">
        <v>371.3880000000001</v>
      </c>
      <c r="H84" s="187">
        <v>410.03900000000004</v>
      </c>
      <c r="I84" s="187">
        <v>448.7619999999999</v>
      </c>
      <c r="J84" s="187">
        <v>459.212</v>
      </c>
      <c r="K84" s="187">
        <v>463.261</v>
      </c>
      <c r="L84" s="187">
        <v>494.31</v>
      </c>
      <c r="M84" s="187">
        <v>527.9590000000002</v>
      </c>
      <c r="N84" s="187">
        <f t="shared" si="2"/>
        <v>448.7619999999999</v>
      </c>
      <c r="O84" s="189">
        <f t="shared" si="3"/>
        <v>0.011834214589283576</v>
      </c>
      <c r="P84" s="189">
        <v>0.031228</v>
      </c>
      <c r="Q84" s="189">
        <v>0.8596714936334743</v>
      </c>
      <c r="R84" s="176">
        <v>0.03978571882679501</v>
      </c>
      <c r="S84" s="188"/>
    </row>
    <row r="85" spans="1:19" ht="12.75">
      <c r="A85">
        <v>84</v>
      </c>
      <c r="B85" s="185" t="s">
        <v>182</v>
      </c>
      <c r="C85" s="186">
        <v>2059.766</v>
      </c>
      <c r="D85" s="187">
        <v>2170.6089999999995</v>
      </c>
      <c r="E85" s="187">
        <v>2304.2529999999997</v>
      </c>
      <c r="F85" s="187">
        <v>2459.9629999999993</v>
      </c>
      <c r="G85" s="187">
        <v>2668.734</v>
      </c>
      <c r="H85" s="187">
        <v>2897.272000000001</v>
      </c>
      <c r="I85" s="187">
        <v>3173.383</v>
      </c>
      <c r="J85" s="187">
        <v>3486.5990000000006</v>
      </c>
      <c r="K85" s="187">
        <v>3850.6349999999993</v>
      </c>
      <c r="L85" s="187">
        <v>4288.170999999999</v>
      </c>
      <c r="M85" s="187">
        <v>4836.981</v>
      </c>
      <c r="N85" s="187">
        <f t="shared" si="2"/>
        <v>3173.383</v>
      </c>
      <c r="O85" s="189">
        <f t="shared" si="3"/>
        <v>0.008681584800723563</v>
      </c>
      <c r="P85" s="189">
        <v>0.018552</v>
      </c>
      <c r="Q85" s="189">
        <v>0.327100539594001</v>
      </c>
      <c r="R85" s="176">
        <v>0.03717978536573836</v>
      </c>
      <c r="S85" s="188"/>
    </row>
    <row r="86" spans="1:19" ht="12.75">
      <c r="A86">
        <v>85</v>
      </c>
      <c r="B86" s="185" t="s">
        <v>42</v>
      </c>
      <c r="C86" s="186">
        <v>757.3090000000001</v>
      </c>
      <c r="D86" s="187">
        <v>877.3909999999998</v>
      </c>
      <c r="E86" s="187">
        <v>1013.029</v>
      </c>
      <c r="F86" s="187">
        <v>1176.618</v>
      </c>
      <c r="G86" s="187">
        <v>1343.044</v>
      </c>
      <c r="H86" s="187">
        <v>1568.27</v>
      </c>
      <c r="I86" s="187">
        <v>1882.299</v>
      </c>
      <c r="J86" s="187">
        <v>2248.1179999999995</v>
      </c>
      <c r="K86" s="187">
        <v>2666.947</v>
      </c>
      <c r="L86" s="187">
        <v>3158.3679999999995</v>
      </c>
      <c r="M86" s="187">
        <v>3734.449</v>
      </c>
      <c r="N86" s="187">
        <f t="shared" si="2"/>
        <v>1882.299</v>
      </c>
      <c r="O86" s="189">
        <f t="shared" si="3"/>
        <v>0.018376361329100366</v>
      </c>
      <c r="P86" s="189">
        <v>0.039486999999999994</v>
      </c>
      <c r="Q86" s="189">
        <v>0.6117754477631903</v>
      </c>
      <c r="R86" s="176">
        <v>0.043163171543709015</v>
      </c>
      <c r="S86" s="188"/>
    </row>
    <row r="87" spans="1:19" ht="12.75">
      <c r="A87">
        <v>86</v>
      </c>
      <c r="B87" s="185" t="s">
        <v>183</v>
      </c>
      <c r="C87" s="186">
        <v>6994</v>
      </c>
      <c r="D87" s="187">
        <v>7305.999</v>
      </c>
      <c r="E87" s="187">
        <v>7456</v>
      </c>
      <c r="F87" s="187">
        <v>7795.79</v>
      </c>
      <c r="G87" s="187">
        <v>8185.713</v>
      </c>
      <c r="H87" s="187">
        <v>8390.914999999999</v>
      </c>
      <c r="I87" s="187">
        <v>8359.506</v>
      </c>
      <c r="J87" s="187">
        <v>8305.631</v>
      </c>
      <c r="K87" s="187">
        <v>8267.715</v>
      </c>
      <c r="L87" s="187">
        <v>8363.511999999999</v>
      </c>
      <c r="M87" s="187">
        <v>8278.785</v>
      </c>
      <c r="N87" s="187">
        <f t="shared" si="2"/>
        <v>8359.506</v>
      </c>
      <c r="O87" s="189">
        <f t="shared" si="3"/>
        <v>0.003573302995232064</v>
      </c>
      <c r="P87" s="189">
        <v>0.012195000000000001</v>
      </c>
      <c r="Q87" s="189">
        <v>0.8856412344342868</v>
      </c>
      <c r="R87" s="176">
        <v>0.01913509556590174</v>
      </c>
      <c r="S87" s="188"/>
    </row>
    <row r="88" spans="1:19" ht="12.75">
      <c r="A88">
        <v>87</v>
      </c>
      <c r="B88" s="185" t="s">
        <v>184</v>
      </c>
      <c r="C88" s="186">
        <v>99.001</v>
      </c>
      <c r="D88" s="187">
        <v>105.001</v>
      </c>
      <c r="E88" s="187">
        <v>115</v>
      </c>
      <c r="F88" s="187">
        <v>126</v>
      </c>
      <c r="G88" s="187">
        <v>138.088</v>
      </c>
      <c r="H88" s="187">
        <v>152.49599999999995</v>
      </c>
      <c r="I88" s="187">
        <v>165.39600000000002</v>
      </c>
      <c r="J88" s="187">
        <v>177.529</v>
      </c>
      <c r="K88" s="187">
        <v>191.21699999999998</v>
      </c>
      <c r="L88" s="187">
        <v>202.083</v>
      </c>
      <c r="M88" s="187">
        <v>214.264</v>
      </c>
      <c r="N88" s="187">
        <f t="shared" si="2"/>
        <v>165.39600000000002</v>
      </c>
      <c r="O88" s="189">
        <f t="shared" si="3"/>
        <v>0.0103171110873983</v>
      </c>
      <c r="P88" s="189">
        <v>0.012765000000000002</v>
      </c>
      <c r="Q88" s="189">
        <v>0.5421114817250775</v>
      </c>
      <c r="R88" s="176">
        <v>0.025581400332720692</v>
      </c>
      <c r="S88" s="188"/>
    </row>
    <row r="89" spans="1:19" ht="12.75">
      <c r="A89">
        <v>88</v>
      </c>
      <c r="B89" s="185" t="s">
        <v>26</v>
      </c>
      <c r="C89" s="186">
        <v>218405.2</v>
      </c>
      <c r="D89" s="187">
        <v>240941.50100000002</v>
      </c>
      <c r="E89" s="187">
        <v>266420.3</v>
      </c>
      <c r="F89" s="187">
        <v>295055.9029999999</v>
      </c>
      <c r="G89" s="187">
        <v>330548.599</v>
      </c>
      <c r="H89" s="187">
        <v>373638.699</v>
      </c>
      <c r="I89" s="187">
        <v>423305.7</v>
      </c>
      <c r="J89" s="187">
        <v>477576.08799999993</v>
      </c>
      <c r="K89" s="187">
        <v>537490.684</v>
      </c>
      <c r="L89" s="187">
        <v>599549.766</v>
      </c>
      <c r="M89" s="187">
        <v>671016.7220000001</v>
      </c>
      <c r="N89" s="187">
        <f t="shared" si="2"/>
        <v>423305.7</v>
      </c>
      <c r="O89" s="189">
        <f t="shared" si="3"/>
        <v>0.013322819496222937</v>
      </c>
      <c r="P89" s="189">
        <v>0.0396545</v>
      </c>
      <c r="Q89" s="189">
        <v>0.9399314337867681</v>
      </c>
      <c r="R89" s="176">
        <v>0.03425436394125758</v>
      </c>
      <c r="S89" s="188"/>
    </row>
    <row r="90" spans="1:19" ht="12.75">
      <c r="A90">
        <v>89</v>
      </c>
      <c r="B90" s="185" t="s">
        <v>27</v>
      </c>
      <c r="C90" s="186">
        <v>48382.10099999999</v>
      </c>
      <c r="D90" s="187">
        <v>52865.33499999999</v>
      </c>
      <c r="E90" s="187">
        <v>57587.85899999998</v>
      </c>
      <c r="F90" s="187">
        <v>62526.18600000001</v>
      </c>
      <c r="G90" s="187">
        <v>69526.752</v>
      </c>
      <c r="H90" s="187">
        <v>78921.021</v>
      </c>
      <c r="I90" s="187">
        <v>89575.01499999998</v>
      </c>
      <c r="J90" s="187">
        <v>102708.50199999998</v>
      </c>
      <c r="K90" s="187">
        <v>116794.42899999999</v>
      </c>
      <c r="L90" s="187">
        <v>131800.11899999998</v>
      </c>
      <c r="M90" s="187">
        <v>146860.475</v>
      </c>
      <c r="N90" s="187">
        <f t="shared" si="2"/>
        <v>89575.01499999998</v>
      </c>
      <c r="O90" s="189">
        <f t="shared" si="3"/>
        <v>0.012395120546100369</v>
      </c>
      <c r="P90" s="189">
        <v>0.04009600000000001</v>
      </c>
      <c r="Q90" s="189">
        <v>0.67558</v>
      </c>
      <c r="R90" s="176">
        <v>0.0355966691457929</v>
      </c>
      <c r="S90" s="188"/>
    </row>
    <row r="91" spans="1:19" ht="12.75">
      <c r="A91">
        <v>90</v>
      </c>
      <c r="B91" s="185" t="s">
        <v>185</v>
      </c>
      <c r="C91" s="186">
        <v>10301.994</v>
      </c>
      <c r="D91" s="187">
        <v>11087.145999999999</v>
      </c>
      <c r="E91" s="187">
        <v>12165.362</v>
      </c>
      <c r="F91" s="187">
        <v>13790.765</v>
      </c>
      <c r="G91" s="187">
        <v>15921.624999999998</v>
      </c>
      <c r="H91" s="187">
        <v>18469.924</v>
      </c>
      <c r="I91" s="187">
        <v>21741.115000000005</v>
      </c>
      <c r="J91" s="187">
        <v>27126.482999999997</v>
      </c>
      <c r="K91" s="187">
        <v>32735.146999999997</v>
      </c>
      <c r="L91" s="187">
        <v>36731.123999999996</v>
      </c>
      <c r="M91" s="187">
        <v>44028.138</v>
      </c>
      <c r="N91" s="187">
        <f t="shared" si="2"/>
        <v>21741.115000000005</v>
      </c>
      <c r="O91" s="189">
        <f t="shared" si="3"/>
        <v>0.015049473826312276</v>
      </c>
      <c r="P91" s="189">
        <v>0.030771999999999997</v>
      </c>
      <c r="Q91" s="189">
        <v>0.47511926453977</v>
      </c>
      <c r="R91" s="176">
        <v>0.039001253289552514</v>
      </c>
      <c r="S91" s="188"/>
    </row>
    <row r="92" spans="1:19" ht="12.75">
      <c r="A92">
        <v>91</v>
      </c>
      <c r="B92" s="185" t="s">
        <v>186</v>
      </c>
      <c r="C92" s="186">
        <v>2799.502</v>
      </c>
      <c r="D92" s="187">
        <v>3193.8</v>
      </c>
      <c r="E92" s="187">
        <v>3688.36</v>
      </c>
      <c r="F92" s="187">
        <v>4274</v>
      </c>
      <c r="G92" s="187">
        <v>4995.17</v>
      </c>
      <c r="H92" s="187">
        <v>5883.5019999999995</v>
      </c>
      <c r="I92" s="187">
        <v>6993.04</v>
      </c>
      <c r="J92" s="187">
        <v>8331.196000000002</v>
      </c>
      <c r="K92" s="187">
        <v>9635.572</v>
      </c>
      <c r="L92" s="187">
        <v>11463.651999999998</v>
      </c>
      <c r="M92" s="187">
        <v>13391.855000000001</v>
      </c>
      <c r="N92" s="187">
        <f t="shared" si="2"/>
        <v>6993.04</v>
      </c>
      <c r="O92" s="189">
        <f t="shared" si="3"/>
        <v>0.018478122656461426</v>
      </c>
      <c r="P92" s="189">
        <v>0.015854500000000004</v>
      </c>
      <c r="Q92" s="189">
        <v>0.27241586063941087</v>
      </c>
      <c r="R92" s="176">
        <v>0.04233611695116245</v>
      </c>
      <c r="S92" s="188"/>
    </row>
    <row r="93" spans="1:19" ht="12.75">
      <c r="A93">
        <v>92</v>
      </c>
      <c r="B93" s="185" t="s">
        <v>187</v>
      </c>
      <c r="C93" s="186">
        <v>2111</v>
      </c>
      <c r="D93" s="187">
        <v>2045</v>
      </c>
      <c r="E93" s="187">
        <v>1953</v>
      </c>
      <c r="F93" s="187">
        <v>1979</v>
      </c>
      <c r="G93" s="187">
        <v>2033.7009999999998</v>
      </c>
      <c r="H93" s="187">
        <v>2185.374</v>
      </c>
      <c r="I93" s="187">
        <v>2360.183</v>
      </c>
      <c r="J93" s="187">
        <v>2488.705</v>
      </c>
      <c r="K93" s="187">
        <v>2554.0589999999997</v>
      </c>
      <c r="L93" s="187">
        <v>2733.15</v>
      </c>
      <c r="M93" s="187">
        <v>2983.3830000000003</v>
      </c>
      <c r="N93" s="187">
        <f t="shared" si="2"/>
        <v>2360.183</v>
      </c>
      <c r="O93" s="189">
        <f t="shared" si="3"/>
        <v>0.0022340395466764473</v>
      </c>
      <c r="P93" s="189">
        <v>0.01741</v>
      </c>
      <c r="Q93" s="189">
        <v>0.6982438486035561</v>
      </c>
      <c r="R93" s="176">
        <v>0.026028271937588634</v>
      </c>
      <c r="S93" s="188"/>
    </row>
    <row r="94" spans="1:19" ht="12.75">
      <c r="A94">
        <v>93</v>
      </c>
      <c r="B94" s="185" t="s">
        <v>188</v>
      </c>
      <c r="C94" s="186">
        <v>859.7570000000001</v>
      </c>
      <c r="D94" s="187">
        <v>1145.37</v>
      </c>
      <c r="E94" s="187">
        <v>1351.9119999999998</v>
      </c>
      <c r="F94" s="187">
        <v>1674.24</v>
      </c>
      <c r="G94" s="187">
        <v>1938.13</v>
      </c>
      <c r="H94" s="187">
        <v>2255.327</v>
      </c>
      <c r="I94" s="187">
        <v>2514.4159999999997</v>
      </c>
      <c r="J94" s="187">
        <v>2766.8350000000005</v>
      </c>
      <c r="K94" s="187">
        <v>3101.1919999999996</v>
      </c>
      <c r="L94" s="187">
        <v>3785.962</v>
      </c>
      <c r="M94" s="187">
        <v>4334.003999999999</v>
      </c>
      <c r="N94" s="187">
        <f t="shared" si="2"/>
        <v>2514.4159999999997</v>
      </c>
      <c r="O94" s="189">
        <f t="shared" si="3"/>
        <v>0.02169490636550231</v>
      </c>
      <c r="P94" s="189">
        <v>0.0395115</v>
      </c>
      <c r="Q94" s="189">
        <v>0.67558</v>
      </c>
      <c r="R94" s="176">
        <v>0.02793948440168362</v>
      </c>
      <c r="S94" s="188"/>
    </row>
    <row r="95" spans="1:19" ht="12.75">
      <c r="A95">
        <v>94</v>
      </c>
      <c r="B95" s="185" t="s">
        <v>189</v>
      </c>
      <c r="C95" s="186">
        <v>34706.83499999999</v>
      </c>
      <c r="D95" s="187">
        <v>36452.149</v>
      </c>
      <c r="E95" s="187">
        <v>37766.8</v>
      </c>
      <c r="F95" s="187">
        <v>39450.251000000004</v>
      </c>
      <c r="G95" s="187">
        <v>40596.4</v>
      </c>
      <c r="H95" s="187">
        <v>42004.27199999999</v>
      </c>
      <c r="I95" s="187">
        <v>43864.024</v>
      </c>
      <c r="J95" s="187">
        <v>45510.90099999999</v>
      </c>
      <c r="K95" s="187">
        <v>47719.594</v>
      </c>
      <c r="L95" s="187">
        <v>48732.3</v>
      </c>
      <c r="M95" s="187">
        <v>49314.11499999999</v>
      </c>
      <c r="N95" s="187">
        <f t="shared" si="2"/>
        <v>43864.024</v>
      </c>
      <c r="O95" s="189">
        <f t="shared" si="3"/>
        <v>0.004694139990233381</v>
      </c>
      <c r="P95" s="189">
        <v>0.010340499999999999</v>
      </c>
      <c r="Q95" s="189">
        <v>0.9452341005447512</v>
      </c>
      <c r="R95" s="176">
        <v>0.019144963535011883</v>
      </c>
      <c r="S95" s="188"/>
    </row>
    <row r="96" spans="1:19" ht="12.75">
      <c r="A96">
        <v>95</v>
      </c>
      <c r="B96" s="185" t="s">
        <v>43</v>
      </c>
      <c r="C96" s="186">
        <v>897.3980000000001</v>
      </c>
      <c r="D96" s="187">
        <v>970.4</v>
      </c>
      <c r="E96" s="187">
        <v>950.0010000000001</v>
      </c>
      <c r="F96" s="187">
        <v>996.215</v>
      </c>
      <c r="G96" s="187">
        <v>991</v>
      </c>
      <c r="H96" s="187">
        <v>1102.3609999999999</v>
      </c>
      <c r="I96" s="187">
        <v>1274.7979999999995</v>
      </c>
      <c r="J96" s="187">
        <v>1455.3029999999994</v>
      </c>
      <c r="K96" s="187">
        <v>1535.94</v>
      </c>
      <c r="L96" s="187">
        <v>1636.465</v>
      </c>
      <c r="M96" s="187">
        <v>1765.6640000000002</v>
      </c>
      <c r="N96" s="187">
        <f t="shared" si="2"/>
        <v>1274.7979999999995</v>
      </c>
      <c r="O96" s="189">
        <f t="shared" si="3"/>
        <v>0.007045575071334964</v>
      </c>
      <c r="P96" s="189">
        <v>0.037587</v>
      </c>
      <c r="Q96" s="189">
        <v>0.67558</v>
      </c>
      <c r="R96" s="176">
        <v>0.03664085128745349</v>
      </c>
      <c r="S96" s="188"/>
    </row>
    <row r="97" spans="1:19" ht="12.75">
      <c r="A97">
        <v>96</v>
      </c>
      <c r="B97" s="185" t="s">
        <v>190</v>
      </c>
      <c r="C97" s="186">
        <v>53982</v>
      </c>
      <c r="D97" s="187">
        <v>59662.001</v>
      </c>
      <c r="E97" s="187">
        <v>65670.002</v>
      </c>
      <c r="F97" s="187">
        <v>73235</v>
      </c>
      <c r="G97" s="187">
        <v>79259.001</v>
      </c>
      <c r="H97" s="187">
        <v>84414.999</v>
      </c>
      <c r="I97" s="187">
        <v>89294.57299999999</v>
      </c>
      <c r="J97" s="187">
        <v>94840.261</v>
      </c>
      <c r="K97" s="187">
        <v>100806.997</v>
      </c>
      <c r="L97" s="187">
        <v>105452.71100000001</v>
      </c>
      <c r="M97" s="187">
        <v>108402.296</v>
      </c>
      <c r="N97" s="187">
        <f t="shared" si="2"/>
        <v>89294.57299999999</v>
      </c>
      <c r="O97" s="189">
        <f t="shared" si="3"/>
        <v>0.010116631696982292</v>
      </c>
      <c r="P97" s="189">
        <v>0.020681500000000002</v>
      </c>
      <c r="Q97" s="189">
        <v>0.67558</v>
      </c>
      <c r="R97" s="176">
        <v>0.022680238020939172</v>
      </c>
      <c r="S97" s="188"/>
    </row>
    <row r="98" spans="1:19" ht="12.75">
      <c r="A98">
        <v>97</v>
      </c>
      <c r="B98" s="185" t="s">
        <v>47</v>
      </c>
      <c r="C98" s="186">
        <v>256.525</v>
      </c>
      <c r="D98" s="187">
        <v>365.03</v>
      </c>
      <c r="E98" s="187">
        <v>498.19199999999995</v>
      </c>
      <c r="F98" s="187">
        <v>610.291</v>
      </c>
      <c r="G98" s="187">
        <v>878.597</v>
      </c>
      <c r="H98" s="187">
        <v>1022.727</v>
      </c>
      <c r="I98" s="187">
        <v>1125.7979999999998</v>
      </c>
      <c r="J98" s="187">
        <v>1433.297</v>
      </c>
      <c r="K98" s="187">
        <v>1730.444</v>
      </c>
      <c r="L98" s="187">
        <v>2489.7960000000003</v>
      </c>
      <c r="M98" s="187">
        <v>2945.508</v>
      </c>
      <c r="N98" s="187">
        <f t="shared" si="2"/>
        <v>1125.7979999999998</v>
      </c>
      <c r="O98" s="189">
        <f t="shared" si="3"/>
        <v>0.030022272109776482</v>
      </c>
      <c r="P98" s="189">
        <v>0.022100000000000005</v>
      </c>
      <c r="Q98" s="189">
        <v>0.29833964719289274</v>
      </c>
      <c r="R98" s="176">
        <v>0.04324781280988822</v>
      </c>
      <c r="S98" s="188"/>
    </row>
    <row r="99" spans="1:19" ht="12.75">
      <c r="A99">
        <v>98</v>
      </c>
      <c r="B99" s="185" t="s">
        <v>191</v>
      </c>
      <c r="C99" s="186">
        <v>4399.81</v>
      </c>
      <c r="D99" s="187">
        <v>5462.089</v>
      </c>
      <c r="E99" s="187">
        <v>6373.581999999999</v>
      </c>
      <c r="F99" s="187">
        <v>7274.523000000002</v>
      </c>
      <c r="G99" s="187">
        <v>8184.697</v>
      </c>
      <c r="H99" s="187">
        <v>9240.371</v>
      </c>
      <c r="I99" s="187">
        <v>10085.91</v>
      </c>
      <c r="J99" s="187">
        <v>10755.153</v>
      </c>
      <c r="K99" s="187">
        <v>11463.628999999999</v>
      </c>
      <c r="L99" s="187">
        <v>11661.426000000003</v>
      </c>
      <c r="M99" s="187">
        <v>11808.909</v>
      </c>
      <c r="N99" s="187">
        <f t="shared" si="2"/>
        <v>10085.91</v>
      </c>
      <c r="O99" s="189">
        <f t="shared" si="3"/>
        <v>0.016729965177711748</v>
      </c>
      <c r="P99" s="189">
        <v>0.0347815</v>
      </c>
      <c r="Q99" s="189">
        <v>0.67558</v>
      </c>
      <c r="R99" s="176">
        <v>0.030297079397897362</v>
      </c>
      <c r="S99" s="188"/>
    </row>
    <row r="100" spans="1:19" ht="12.75">
      <c r="A100">
        <v>99</v>
      </c>
      <c r="B100" s="185" t="s">
        <v>192</v>
      </c>
      <c r="C100" s="186">
        <v>3773.1989999999996</v>
      </c>
      <c r="D100" s="187">
        <v>4098.170999999999</v>
      </c>
      <c r="E100" s="187">
        <v>4446.286</v>
      </c>
      <c r="F100" s="187">
        <v>5001.885</v>
      </c>
      <c r="G100" s="187">
        <v>5815.960999999999</v>
      </c>
      <c r="H100" s="187">
        <v>6851.931000000001</v>
      </c>
      <c r="I100" s="187">
        <v>8164.0470000000005</v>
      </c>
      <c r="J100" s="187">
        <v>9799.604000000001</v>
      </c>
      <c r="K100" s="187">
        <v>11895.864000000001</v>
      </c>
      <c r="L100" s="187">
        <v>14614.889000000001</v>
      </c>
      <c r="M100" s="187">
        <v>17337.933</v>
      </c>
      <c r="N100" s="187">
        <f t="shared" si="2"/>
        <v>8164.0470000000005</v>
      </c>
      <c r="O100" s="189">
        <f t="shared" si="3"/>
        <v>0.015556092026056456</v>
      </c>
      <c r="P100" s="189">
        <v>0.047966499999999995</v>
      </c>
      <c r="Q100" s="189">
        <v>0.5827613960062543</v>
      </c>
      <c r="R100" s="176">
        <v>0.04326793595856167</v>
      </c>
      <c r="S100" s="188"/>
    </row>
    <row r="101" spans="1:19" ht="12.75">
      <c r="A101">
        <v>100</v>
      </c>
      <c r="B101" s="185" t="s">
        <v>48</v>
      </c>
      <c r="C101" s="186">
        <v>97.25099999999999</v>
      </c>
      <c r="D101" s="187">
        <v>126.85300000000001</v>
      </c>
      <c r="E101" s="187">
        <v>181.15</v>
      </c>
      <c r="F101" s="187">
        <v>290.69</v>
      </c>
      <c r="G101" s="187">
        <v>421.0070000000001</v>
      </c>
      <c r="H101" s="187">
        <v>559.749</v>
      </c>
      <c r="I101" s="187">
        <v>821.639</v>
      </c>
      <c r="J101" s="187">
        <v>1081.577</v>
      </c>
      <c r="K101" s="187">
        <v>1358.195</v>
      </c>
      <c r="L101" s="187">
        <v>990.8439999999999</v>
      </c>
      <c r="M101" s="187">
        <v>1315.051</v>
      </c>
      <c r="N101" s="187">
        <f t="shared" si="2"/>
        <v>821.639</v>
      </c>
      <c r="O101" s="189">
        <f t="shared" si="3"/>
        <v>0.04360401049150653</v>
      </c>
      <c r="P101" s="189">
        <v>0.036599999999999994</v>
      </c>
      <c r="Q101" s="189">
        <v>0.8247474339243518</v>
      </c>
      <c r="R101" s="176">
        <v>0.0319725546326301</v>
      </c>
      <c r="S101" s="188"/>
    </row>
    <row r="102" spans="1:19" ht="12.75">
      <c r="A102">
        <v>101</v>
      </c>
      <c r="B102" s="185" t="s">
        <v>193</v>
      </c>
      <c r="C102" s="186">
        <v>1237.1580000000001</v>
      </c>
      <c r="D102" s="187">
        <v>1341.0609999999997</v>
      </c>
      <c r="E102" s="187">
        <v>1382.4729999999997</v>
      </c>
      <c r="F102" s="187">
        <v>1503.9</v>
      </c>
      <c r="G102" s="187">
        <v>1729.4289999999996</v>
      </c>
      <c r="H102" s="187">
        <v>1983.6930000000002</v>
      </c>
      <c r="I102" s="187">
        <v>2280.913</v>
      </c>
      <c r="J102" s="187">
        <v>2527.835</v>
      </c>
      <c r="K102" s="187">
        <v>2743.585</v>
      </c>
      <c r="L102" s="187">
        <v>2891.869</v>
      </c>
      <c r="M102" s="187">
        <v>3250.893</v>
      </c>
      <c r="N102" s="187">
        <f t="shared" si="2"/>
        <v>2280.913</v>
      </c>
      <c r="O102" s="189">
        <f t="shared" si="3"/>
        <v>0.012310335770428393</v>
      </c>
      <c r="P102" s="189">
        <v>0.022262999999999998</v>
      </c>
      <c r="Q102" s="189">
        <v>0.5709168304798479</v>
      </c>
      <c r="R102" s="176">
        <v>0.03212554633576486</v>
      </c>
      <c r="S102" s="188"/>
    </row>
    <row r="103" spans="1:19" ht="12.75">
      <c r="A103">
        <v>102</v>
      </c>
      <c r="B103" s="185" t="s">
        <v>194</v>
      </c>
      <c r="C103" s="186">
        <v>1019.899</v>
      </c>
      <c r="D103" s="187">
        <v>1130.899</v>
      </c>
      <c r="E103" s="187">
        <v>1261.598</v>
      </c>
      <c r="F103" s="187">
        <v>1401.9009999999998</v>
      </c>
      <c r="G103" s="187">
        <v>1564.5</v>
      </c>
      <c r="H103" s="187">
        <v>1751.2</v>
      </c>
      <c r="I103" s="187">
        <v>1857.999</v>
      </c>
      <c r="J103" s="187">
        <v>2054.401</v>
      </c>
      <c r="K103" s="187">
        <v>2322.94</v>
      </c>
      <c r="L103" s="187">
        <v>2639.4060000000004</v>
      </c>
      <c r="M103" s="187">
        <v>3022.258</v>
      </c>
      <c r="N103" s="187">
        <f t="shared" si="2"/>
        <v>1857.999</v>
      </c>
      <c r="O103" s="189">
        <f t="shared" si="3"/>
        <v>0.012068169727953881</v>
      </c>
      <c r="P103" s="189">
        <v>0.026435</v>
      </c>
      <c r="Q103" s="189">
        <v>0.49967392429599533</v>
      </c>
      <c r="R103" s="176">
        <v>0.03879354832277614</v>
      </c>
      <c r="S103" s="188"/>
    </row>
    <row r="104" spans="1:19" ht="12.75">
      <c r="A104">
        <v>103</v>
      </c>
      <c r="B104" s="185" t="s">
        <v>195</v>
      </c>
      <c r="C104" s="186">
        <v>100192.22</v>
      </c>
      <c r="D104" s="187">
        <v>112440.022</v>
      </c>
      <c r="E104" s="187">
        <v>126049.223</v>
      </c>
      <c r="F104" s="187">
        <v>143027.33800000005</v>
      </c>
      <c r="G104" s="187">
        <v>163958.96599999996</v>
      </c>
      <c r="H104" s="187">
        <v>189003.86699999997</v>
      </c>
      <c r="I104" s="187">
        <v>218252.23300000004</v>
      </c>
      <c r="J104" s="187">
        <v>248847.089</v>
      </c>
      <c r="K104" s="187">
        <v>281784.89</v>
      </c>
      <c r="L104" s="187">
        <v>317915.005</v>
      </c>
      <c r="M104" s="187">
        <v>355248.56</v>
      </c>
      <c r="N104" s="187">
        <f t="shared" si="2"/>
        <v>218252.23300000004</v>
      </c>
      <c r="O104" s="189">
        <f t="shared" si="3"/>
        <v>0.015693080810309734</v>
      </c>
      <c r="P104" s="189">
        <v>0.011811</v>
      </c>
      <c r="Q104" s="189">
        <v>0.27410486306945</v>
      </c>
      <c r="R104" s="176">
        <v>0.035801833265981825</v>
      </c>
      <c r="S104" s="188"/>
    </row>
    <row r="105" spans="1:19" ht="12.75">
      <c r="A105">
        <v>104</v>
      </c>
      <c r="B105" s="185" t="s">
        <v>58</v>
      </c>
      <c r="C105" s="186">
        <v>1455.391</v>
      </c>
      <c r="D105" s="187">
        <v>1544.1729999999998</v>
      </c>
      <c r="E105" s="187">
        <v>1655.6210000000003</v>
      </c>
      <c r="F105" s="187">
        <v>1762.318</v>
      </c>
      <c r="G105" s="187">
        <v>1848.475</v>
      </c>
      <c r="H105" s="187">
        <v>1938.0559999999998</v>
      </c>
      <c r="I105" s="187">
        <v>1998.441</v>
      </c>
      <c r="J105" s="187">
        <v>2032.7830000000004</v>
      </c>
      <c r="K105" s="187">
        <v>2096.9339999999997</v>
      </c>
      <c r="L105" s="187">
        <v>1998.7389999999998</v>
      </c>
      <c r="M105" s="187">
        <v>1999.607</v>
      </c>
      <c r="N105" s="187">
        <f t="shared" si="2"/>
        <v>1998.441</v>
      </c>
      <c r="O105" s="189">
        <f t="shared" si="3"/>
        <v>0.006362007815758686</v>
      </c>
      <c r="P105" s="189">
        <v>0.015175</v>
      </c>
      <c r="Q105" s="189">
        <v>0.67558</v>
      </c>
      <c r="R105" s="176">
        <v>0.019057289018375338</v>
      </c>
      <c r="S105" s="188"/>
    </row>
    <row r="106" spans="1:19" ht="12.75">
      <c r="A106">
        <v>105</v>
      </c>
      <c r="B106" s="185" t="s">
        <v>14</v>
      </c>
      <c r="C106" s="186">
        <v>949.0930000000001</v>
      </c>
      <c r="D106" s="187">
        <v>1022.5629999999999</v>
      </c>
      <c r="E106" s="187">
        <v>1100.3480000000002</v>
      </c>
      <c r="F106" s="187">
        <v>1213.7169999999999</v>
      </c>
      <c r="G106" s="187">
        <v>1385.489</v>
      </c>
      <c r="H106" s="187">
        <v>1628.215</v>
      </c>
      <c r="I106" s="187">
        <v>1598.399</v>
      </c>
      <c r="J106" s="187">
        <v>1667.951</v>
      </c>
      <c r="K106" s="187">
        <v>1766.004</v>
      </c>
      <c r="L106" s="187">
        <v>2100.4510000000005</v>
      </c>
      <c r="M106" s="187">
        <v>2407.676</v>
      </c>
      <c r="N106" s="187">
        <f t="shared" si="2"/>
        <v>1598.399</v>
      </c>
      <c r="O106" s="189">
        <f t="shared" si="3"/>
        <v>0.010479549657222531</v>
      </c>
      <c r="P106" s="189">
        <v>0.024409999999999998</v>
      </c>
      <c r="Q106" s="189">
        <v>0.7380636987180843</v>
      </c>
      <c r="R106" s="176">
        <v>0.03475194664705878</v>
      </c>
      <c r="S106" s="188"/>
    </row>
    <row r="107" spans="1:19" ht="12.75">
      <c r="A107">
        <v>106</v>
      </c>
      <c r="B107" s="185" t="s">
        <v>196</v>
      </c>
      <c r="C107" s="186">
        <v>435.435</v>
      </c>
      <c r="D107" s="187">
        <v>477.415</v>
      </c>
      <c r="E107" s="187">
        <v>530.2589999999999</v>
      </c>
      <c r="F107" s="187">
        <v>592.5320000000002</v>
      </c>
      <c r="G107" s="187">
        <v>648.4370000000002</v>
      </c>
      <c r="H107" s="187">
        <v>715.8790000000001</v>
      </c>
      <c r="I107" s="187">
        <v>797.7870000000001</v>
      </c>
      <c r="J107" s="187">
        <v>891.8610000000001</v>
      </c>
      <c r="K107" s="187">
        <v>994.2290000000002</v>
      </c>
      <c r="L107" s="187">
        <v>1121.011</v>
      </c>
      <c r="M107" s="187">
        <v>1236.008</v>
      </c>
      <c r="N107" s="187">
        <f t="shared" si="2"/>
        <v>797.7870000000001</v>
      </c>
      <c r="O107" s="189">
        <f t="shared" si="3"/>
        <v>0.01218354425610979</v>
      </c>
      <c r="P107" s="189">
        <v>0.0359885</v>
      </c>
      <c r="Q107" s="189">
        <v>0.782817601292693</v>
      </c>
      <c r="R107" s="176">
        <v>0.0364790923734699</v>
      </c>
      <c r="S107" s="188"/>
    </row>
    <row r="108" spans="1:19" ht="12.75">
      <c r="A108">
        <v>107</v>
      </c>
      <c r="B108" s="185" t="s">
        <v>197</v>
      </c>
      <c r="C108" s="186">
        <v>482.1</v>
      </c>
      <c r="D108" s="187">
        <v>538.548</v>
      </c>
      <c r="E108" s="187">
        <v>611.2979999999999</v>
      </c>
      <c r="F108" s="187">
        <v>694.9789999999999</v>
      </c>
      <c r="G108" s="187">
        <v>786.285</v>
      </c>
      <c r="H108" s="187">
        <v>901.189</v>
      </c>
      <c r="I108" s="187">
        <v>1044.995</v>
      </c>
      <c r="J108" s="187">
        <v>1194.336</v>
      </c>
      <c r="K108" s="187">
        <v>1053.64</v>
      </c>
      <c r="L108" s="187">
        <v>997.1589999999999</v>
      </c>
      <c r="M108" s="187">
        <v>1669.383</v>
      </c>
      <c r="N108" s="187">
        <f t="shared" si="2"/>
        <v>1044.995</v>
      </c>
      <c r="O108" s="189">
        <f t="shared" si="3"/>
        <v>0.015592632374146431</v>
      </c>
      <c r="P108" s="189">
        <v>0.049688500000000003</v>
      </c>
      <c r="Q108" s="189">
        <v>0.7870482220451456</v>
      </c>
      <c r="R108" s="176">
        <v>0.04197254883123988</v>
      </c>
      <c r="S108" s="188"/>
    </row>
    <row r="109" spans="1:19" ht="12.75">
      <c r="A109">
        <v>108</v>
      </c>
      <c r="B109" s="185" t="s">
        <v>198</v>
      </c>
      <c r="C109" s="186">
        <v>597.77</v>
      </c>
      <c r="D109" s="187">
        <v>641.4079999999999</v>
      </c>
      <c r="E109" s="187">
        <v>765.001</v>
      </c>
      <c r="F109" s="187">
        <v>918.7</v>
      </c>
      <c r="G109" s="187">
        <v>1093.6989999999998</v>
      </c>
      <c r="H109" s="187">
        <v>1319.901</v>
      </c>
      <c r="I109" s="187">
        <v>1623.099</v>
      </c>
      <c r="J109" s="187">
        <v>2028.5</v>
      </c>
      <c r="K109" s="187">
        <v>2427.135</v>
      </c>
      <c r="L109" s="187">
        <v>2904.18</v>
      </c>
      <c r="M109" s="187">
        <v>3495.196</v>
      </c>
      <c r="N109" s="187">
        <f t="shared" si="2"/>
        <v>1623.099</v>
      </c>
      <c r="O109" s="189">
        <f t="shared" si="3"/>
        <v>0.020178620380050027</v>
      </c>
      <c r="P109" s="189">
        <v>0.032493499999999995</v>
      </c>
      <c r="Q109" s="189">
        <v>0.5731815733647387</v>
      </c>
      <c r="R109" s="176">
        <v>0.03962496494895802</v>
      </c>
      <c r="S109" s="188"/>
    </row>
    <row r="110" spans="1:19" ht="12.75">
      <c r="A110">
        <v>109</v>
      </c>
      <c r="B110" s="185" t="s">
        <v>199</v>
      </c>
      <c r="C110" s="186">
        <v>1865.96</v>
      </c>
      <c r="D110" s="187">
        <v>1927.0659999999998</v>
      </c>
      <c r="E110" s="187">
        <v>2030.865</v>
      </c>
      <c r="F110" s="187">
        <v>2153.1610000000005</v>
      </c>
      <c r="G110" s="187">
        <v>2290.51</v>
      </c>
      <c r="H110" s="187">
        <v>2461.196</v>
      </c>
      <c r="I110" s="187">
        <v>2609.1330000000003</v>
      </c>
      <c r="J110" s="187">
        <v>2726.8119999999994</v>
      </c>
      <c r="K110" s="187">
        <v>2880.6030000000005</v>
      </c>
      <c r="L110" s="187">
        <v>2906.51</v>
      </c>
      <c r="M110" s="187">
        <v>2976.9059999999995</v>
      </c>
      <c r="N110" s="187">
        <f t="shared" si="2"/>
        <v>2609.1330000000003</v>
      </c>
      <c r="O110" s="189">
        <f t="shared" si="3"/>
        <v>0.006727374127926344</v>
      </c>
      <c r="P110" s="189">
        <v>0.013404000000000003</v>
      </c>
      <c r="Q110" s="189">
        <v>0.740275252621172</v>
      </c>
      <c r="R110" s="176">
        <v>0.02181177921853577</v>
      </c>
      <c r="S110" s="188"/>
    </row>
    <row r="111" spans="1:19" ht="12.75">
      <c r="A111">
        <v>110</v>
      </c>
      <c r="B111" s="185" t="s">
        <v>200</v>
      </c>
      <c r="C111" s="186">
        <v>236.99900000000002</v>
      </c>
      <c r="D111" s="187">
        <v>244.99900000000002</v>
      </c>
      <c r="E111" s="187">
        <v>247.00300000000001</v>
      </c>
      <c r="F111" s="187">
        <v>256.842</v>
      </c>
      <c r="G111" s="187">
        <v>264.67599999999993</v>
      </c>
      <c r="H111" s="187">
        <v>281.593</v>
      </c>
      <c r="I111" s="187">
        <v>294.72</v>
      </c>
      <c r="J111" s="187">
        <v>303.154</v>
      </c>
      <c r="K111" s="187">
        <v>315.896</v>
      </c>
      <c r="L111" s="187">
        <v>334.274</v>
      </c>
      <c r="M111" s="187">
        <v>355.33799999999997</v>
      </c>
      <c r="N111" s="187">
        <f t="shared" si="2"/>
        <v>294.72</v>
      </c>
      <c r="O111" s="189">
        <f t="shared" si="3"/>
        <v>0.0043689126194459416</v>
      </c>
      <c r="P111" s="189">
        <v>0.010555</v>
      </c>
      <c r="Q111" s="189">
        <v>0.6452158442266857</v>
      </c>
      <c r="R111" s="176">
        <v>0.016720155719907658</v>
      </c>
      <c r="S111" s="188"/>
    </row>
    <row r="112" spans="1:19" ht="12.75">
      <c r="A112">
        <v>111</v>
      </c>
      <c r="B112" s="185" t="s">
        <v>201</v>
      </c>
      <c r="C112" s="186">
        <v>2462.3089999999997</v>
      </c>
      <c r="D112" s="187">
        <v>2722.7439999999997</v>
      </c>
      <c r="E112" s="187">
        <v>3020.0119999999997</v>
      </c>
      <c r="F112" s="187">
        <v>3349.796</v>
      </c>
      <c r="G112" s="187">
        <v>3820.2269999999994</v>
      </c>
      <c r="H112" s="187">
        <v>4371.808999999999</v>
      </c>
      <c r="I112" s="187">
        <v>4999.28</v>
      </c>
      <c r="J112" s="187">
        <v>5738.270999999999</v>
      </c>
      <c r="K112" s="187">
        <v>6595.987999999999</v>
      </c>
      <c r="L112" s="187">
        <v>7618.15</v>
      </c>
      <c r="M112" s="187">
        <v>8827.089</v>
      </c>
      <c r="N112" s="187">
        <f t="shared" si="2"/>
        <v>4999.28</v>
      </c>
      <c r="O112" s="189">
        <f t="shared" si="3"/>
        <v>0.014264670608383767</v>
      </c>
      <c r="P112" s="189">
        <v>0.04221949999999999</v>
      </c>
      <c r="Q112" s="189">
        <v>0.763774377221116</v>
      </c>
      <c r="R112" s="176">
        <v>0.0398807045776433</v>
      </c>
      <c r="S112" s="188"/>
    </row>
    <row r="113" spans="1:19" ht="12.75">
      <c r="A113">
        <v>112</v>
      </c>
      <c r="B113" s="185" t="s">
        <v>202</v>
      </c>
      <c r="C113" s="186">
        <v>1564.2009999999998</v>
      </c>
      <c r="D113" s="187">
        <v>1723.498</v>
      </c>
      <c r="E113" s="187">
        <v>1916.3020000000001</v>
      </c>
      <c r="F113" s="187">
        <v>2154.702</v>
      </c>
      <c r="G113" s="187">
        <v>2409.9</v>
      </c>
      <c r="H113" s="187">
        <v>2766.66</v>
      </c>
      <c r="I113" s="187">
        <v>3246.4049999999997</v>
      </c>
      <c r="J113" s="187">
        <v>3832.9379999999996</v>
      </c>
      <c r="K113" s="187">
        <v>4995.454000000001</v>
      </c>
      <c r="L113" s="187">
        <v>5341.499</v>
      </c>
      <c r="M113" s="187">
        <v>6069.753000000001</v>
      </c>
      <c r="N113" s="187">
        <f t="shared" si="2"/>
        <v>3246.4049999999997</v>
      </c>
      <c r="O113" s="189">
        <f t="shared" si="3"/>
        <v>0.014710613099524927</v>
      </c>
      <c r="P113" s="189">
        <v>0.044760499999999995</v>
      </c>
      <c r="Q113" s="189">
        <v>0.6434443884096511</v>
      </c>
      <c r="R113" s="176">
        <v>0.04227533876598848</v>
      </c>
      <c r="S113" s="188"/>
    </row>
    <row r="114" spans="1:19" ht="12.75">
      <c r="A114">
        <v>113</v>
      </c>
      <c r="B114" s="185" t="s">
        <v>12</v>
      </c>
      <c r="C114" s="186">
        <v>3611.1019999999994</v>
      </c>
      <c r="D114" s="187">
        <v>4021.100999999999</v>
      </c>
      <c r="E114" s="187">
        <v>4454.5</v>
      </c>
      <c r="F114" s="187">
        <v>5116.199</v>
      </c>
      <c r="G114" s="187">
        <v>6012.3009999999995</v>
      </c>
      <c r="H114" s="187">
        <v>7098.001</v>
      </c>
      <c r="I114" s="187">
        <v>8350.603</v>
      </c>
      <c r="J114" s="187">
        <v>9614.02</v>
      </c>
      <c r="K114" s="187">
        <v>11331.603</v>
      </c>
      <c r="L114" s="187">
        <v>12820.196</v>
      </c>
      <c r="M114" s="187">
        <v>14643.306999999999</v>
      </c>
      <c r="N114" s="187">
        <f t="shared" si="2"/>
        <v>8350.603</v>
      </c>
      <c r="O114" s="189">
        <f t="shared" si="3"/>
        <v>0.016907760444142772</v>
      </c>
      <c r="P114" s="189">
        <v>0.0429625</v>
      </c>
      <c r="Q114" s="189">
        <v>0.9568027234910899</v>
      </c>
      <c r="R114" s="176">
        <v>0.037078007675394056</v>
      </c>
      <c r="S114" s="188"/>
    </row>
    <row r="115" spans="1:19" ht="12.75">
      <c r="A115">
        <v>114</v>
      </c>
      <c r="B115" s="185" t="s">
        <v>203</v>
      </c>
      <c r="C115" s="186">
        <v>54.895</v>
      </c>
      <c r="D115" s="187">
        <v>56.73</v>
      </c>
      <c r="E115" s="187">
        <v>59.31699999999999</v>
      </c>
      <c r="F115" s="187">
        <v>62.943000000000005</v>
      </c>
      <c r="G115" s="187">
        <v>70.81599999999999</v>
      </c>
      <c r="H115" s="187">
        <v>79.90099999999998</v>
      </c>
      <c r="I115" s="187">
        <v>90.39099999999999</v>
      </c>
      <c r="J115" s="187">
        <v>100.056</v>
      </c>
      <c r="K115" s="187">
        <v>115.315</v>
      </c>
      <c r="L115" s="187">
        <v>136.058</v>
      </c>
      <c r="M115" s="187">
        <v>163.81199999999998</v>
      </c>
      <c r="N115" s="187">
        <f t="shared" si="2"/>
        <v>90.39099999999999</v>
      </c>
      <c r="O115" s="189">
        <f t="shared" si="3"/>
        <v>0.010024359323755672</v>
      </c>
      <c r="P115" s="189">
        <v>0.030338500000000004</v>
      </c>
      <c r="Q115" s="189">
        <v>0.4533366151476817</v>
      </c>
      <c r="R115" s="176">
        <v>0.036890544423841896</v>
      </c>
      <c r="S115" s="188"/>
    </row>
    <row r="116" spans="1:19" ht="12.75">
      <c r="A116">
        <v>115</v>
      </c>
      <c r="B116" s="185" t="s">
        <v>204</v>
      </c>
      <c r="C116" s="186">
        <v>1971.044</v>
      </c>
      <c r="D116" s="187">
        <v>2181.885</v>
      </c>
      <c r="E116" s="187">
        <v>2424.226</v>
      </c>
      <c r="F116" s="187">
        <v>2707.174</v>
      </c>
      <c r="G116" s="187">
        <v>2978.196</v>
      </c>
      <c r="H116" s="187">
        <v>3328.992</v>
      </c>
      <c r="I116" s="187">
        <v>3639.9110000000005</v>
      </c>
      <c r="J116" s="187">
        <v>4133.24</v>
      </c>
      <c r="K116" s="187">
        <v>4742.648999999999</v>
      </c>
      <c r="L116" s="187">
        <v>5365.6810000000005</v>
      </c>
      <c r="M116" s="187">
        <v>6115.773999999999</v>
      </c>
      <c r="N116" s="187">
        <f t="shared" si="2"/>
        <v>3639.9110000000005</v>
      </c>
      <c r="O116" s="189">
        <f t="shared" si="3"/>
        <v>0.012343477154680205</v>
      </c>
      <c r="P116" s="189">
        <v>0.04992750000000001</v>
      </c>
      <c r="Q116" s="189">
        <v>0.7838311655086243</v>
      </c>
      <c r="R116" s="176">
        <v>0.04177426964748982</v>
      </c>
      <c r="S116" s="188"/>
    </row>
    <row r="117" spans="1:19" ht="12.75">
      <c r="A117">
        <v>116</v>
      </c>
      <c r="B117" s="185" t="s">
        <v>205</v>
      </c>
      <c r="C117" s="186">
        <v>202.998</v>
      </c>
      <c r="D117" s="187">
        <v>195</v>
      </c>
      <c r="E117" s="187">
        <v>197.001</v>
      </c>
      <c r="F117" s="187">
        <v>201.99899999999997</v>
      </c>
      <c r="G117" s="187">
        <v>218.92099999999996</v>
      </c>
      <c r="H117" s="187">
        <v>229.029</v>
      </c>
      <c r="I117" s="187">
        <v>249.421</v>
      </c>
      <c r="J117" s="187">
        <v>261.25600000000003</v>
      </c>
      <c r="K117" s="187">
        <v>275.625</v>
      </c>
      <c r="L117" s="187">
        <v>294.46700000000004</v>
      </c>
      <c r="M117" s="187">
        <v>311.354</v>
      </c>
      <c r="N117" s="187">
        <f t="shared" si="2"/>
        <v>249.421</v>
      </c>
      <c r="O117" s="189">
        <f t="shared" si="3"/>
        <v>0.004127416518437954</v>
      </c>
      <c r="P117" s="189">
        <v>0.009805</v>
      </c>
      <c r="Q117" s="189">
        <v>0.46842338320547094</v>
      </c>
      <c r="R117" s="176">
        <v>0.02515153955319366</v>
      </c>
      <c r="S117" s="188"/>
    </row>
    <row r="118" spans="1:19" ht="12.75">
      <c r="A118">
        <v>117</v>
      </c>
      <c r="B118" s="185" t="s">
        <v>206</v>
      </c>
      <c r="C118" s="186">
        <v>139</v>
      </c>
      <c r="D118" s="187">
        <v>146.50200000000004</v>
      </c>
      <c r="E118" s="187">
        <v>162.40100000000004</v>
      </c>
      <c r="F118" s="187">
        <v>173.4</v>
      </c>
      <c r="G118" s="187">
        <v>190.79800000000003</v>
      </c>
      <c r="H118" s="187">
        <v>196.19799999999995</v>
      </c>
      <c r="I118" s="187">
        <v>226.588</v>
      </c>
      <c r="J118" s="187">
        <v>246.875</v>
      </c>
      <c r="K118" s="187">
        <v>271.356</v>
      </c>
      <c r="L118" s="187">
        <v>284.313</v>
      </c>
      <c r="M118" s="187">
        <v>297.07599999999996</v>
      </c>
      <c r="N118" s="187">
        <f t="shared" si="2"/>
        <v>226.588</v>
      </c>
      <c r="O118" s="189">
        <f t="shared" si="3"/>
        <v>0.009821102721493835</v>
      </c>
      <c r="P118" s="189">
        <v>0.023959</v>
      </c>
      <c r="Q118" s="189">
        <v>0.67558</v>
      </c>
      <c r="R118" s="176">
        <v>0.032384320053378116</v>
      </c>
      <c r="S118" s="188"/>
    </row>
    <row r="119" spans="1:19" ht="12.75">
      <c r="A119">
        <v>118</v>
      </c>
      <c r="B119" s="185" t="s">
        <v>207</v>
      </c>
      <c r="C119" s="186">
        <v>480.699</v>
      </c>
      <c r="D119" s="187">
        <v>524.0419999999999</v>
      </c>
      <c r="E119" s="187">
        <v>573.3070000000001</v>
      </c>
      <c r="F119" s="187">
        <v>630.7289999999999</v>
      </c>
      <c r="G119" s="187">
        <v>697.9929999999999</v>
      </c>
      <c r="H119" s="187">
        <v>777.9220000000001</v>
      </c>
      <c r="I119" s="187">
        <v>872.7389999999999</v>
      </c>
      <c r="J119" s="187">
        <v>968.3489999999999</v>
      </c>
      <c r="K119" s="187">
        <v>1096.847</v>
      </c>
      <c r="L119" s="187">
        <v>1259.65</v>
      </c>
      <c r="M119" s="187">
        <v>1488.3310000000001</v>
      </c>
      <c r="N119" s="187">
        <f t="shared" si="2"/>
        <v>872.7389999999999</v>
      </c>
      <c r="O119" s="189">
        <f t="shared" si="3"/>
        <v>0.011999326093341534</v>
      </c>
      <c r="P119" s="189">
        <v>0.049626</v>
      </c>
      <c r="Q119" s="189">
        <v>0.7886660258690791</v>
      </c>
      <c r="R119" s="176">
        <v>0.03880233897349085</v>
      </c>
      <c r="S119" s="188"/>
    </row>
    <row r="120" spans="1:19" ht="12.75">
      <c r="A120">
        <v>119</v>
      </c>
      <c r="B120" s="185" t="s">
        <v>208</v>
      </c>
      <c r="C120" s="186">
        <v>270.52700000000004</v>
      </c>
      <c r="D120" s="187">
        <v>307.803</v>
      </c>
      <c r="E120" s="187">
        <v>352.72100000000006</v>
      </c>
      <c r="F120" s="187">
        <v>402.77</v>
      </c>
      <c r="G120" s="187">
        <v>464.511</v>
      </c>
      <c r="H120" s="187">
        <v>538.1260000000001</v>
      </c>
      <c r="I120" s="187">
        <v>621.9190000000001</v>
      </c>
      <c r="J120" s="187">
        <v>693.465</v>
      </c>
      <c r="K120" s="187">
        <v>743.165</v>
      </c>
      <c r="L120" s="187">
        <v>807.5070000000001</v>
      </c>
      <c r="M120" s="187">
        <v>863.766</v>
      </c>
      <c r="N120" s="187">
        <f t="shared" si="2"/>
        <v>621.9190000000001</v>
      </c>
      <c r="O120" s="189">
        <f t="shared" si="3"/>
        <v>0.01678812193503476</v>
      </c>
      <c r="P120" s="189">
        <v>0.05052899999999999</v>
      </c>
      <c r="Q120" s="189">
        <v>0.67558</v>
      </c>
      <c r="R120" s="176">
        <v>0.0366718254984114</v>
      </c>
      <c r="S120" s="188"/>
    </row>
    <row r="121" spans="1:19" ht="12.75">
      <c r="A121">
        <v>120</v>
      </c>
      <c r="B121" s="185" t="s">
        <v>209</v>
      </c>
      <c r="C121" s="186">
        <v>1251.202</v>
      </c>
      <c r="D121" s="187">
        <v>1327.7929999999997</v>
      </c>
      <c r="E121" s="187">
        <v>1437.21</v>
      </c>
      <c r="F121" s="187">
        <v>1590.5609999999997</v>
      </c>
      <c r="G121" s="187">
        <v>1799.3289999999995</v>
      </c>
      <c r="H121" s="187">
        <v>2048.0480000000002</v>
      </c>
      <c r="I121" s="187">
        <v>2320.62</v>
      </c>
      <c r="J121" s="187">
        <v>2645.2129999999993</v>
      </c>
      <c r="K121" s="187">
        <v>3009.7309999999998</v>
      </c>
      <c r="L121" s="187">
        <v>3421.503000000001</v>
      </c>
      <c r="M121" s="187">
        <v>3934.611</v>
      </c>
      <c r="N121" s="187">
        <f t="shared" si="2"/>
        <v>2320.62</v>
      </c>
      <c r="O121" s="189">
        <f t="shared" si="3"/>
        <v>0.012431227304369408</v>
      </c>
      <c r="P121" s="189">
        <v>0.017015</v>
      </c>
      <c r="Q121" s="189">
        <v>0.3003285691072729</v>
      </c>
      <c r="R121" s="176">
        <v>0.03939230370220395</v>
      </c>
      <c r="S121" s="188"/>
    </row>
    <row r="122" spans="1:19" ht="12.75">
      <c r="A122">
        <v>121</v>
      </c>
      <c r="B122" s="185" t="s">
        <v>44</v>
      </c>
      <c r="C122" s="186">
        <v>16093.442</v>
      </c>
      <c r="D122" s="187">
        <v>17908.705</v>
      </c>
      <c r="E122" s="187">
        <v>20315.680999999997</v>
      </c>
      <c r="F122" s="187">
        <v>23298.731999999996</v>
      </c>
      <c r="G122" s="187">
        <v>27074.591</v>
      </c>
      <c r="H122" s="187">
        <v>31624.228</v>
      </c>
      <c r="I122" s="187">
        <v>37070.311</v>
      </c>
      <c r="J122" s="187">
        <v>43530.49099999999</v>
      </c>
      <c r="K122" s="187">
        <v>51121.64800000001</v>
      </c>
      <c r="L122" s="187">
        <v>58781.829</v>
      </c>
      <c r="M122" s="187">
        <v>66102.34</v>
      </c>
      <c r="N122" s="187">
        <f t="shared" si="2"/>
        <v>37070.311</v>
      </c>
      <c r="O122" s="189">
        <f t="shared" si="3"/>
        <v>0.016828114953195472</v>
      </c>
      <c r="P122" s="189">
        <v>0.0382775</v>
      </c>
      <c r="Q122" s="189">
        <v>0.8582992053200993</v>
      </c>
      <c r="R122" s="176">
        <v>0.03964342442806758</v>
      </c>
      <c r="S122" s="188"/>
    </row>
    <row r="123" spans="1:19" ht="12.75">
      <c r="A123">
        <v>122</v>
      </c>
      <c r="B123" s="185" t="s">
        <v>210</v>
      </c>
      <c r="C123" s="186">
        <v>96.17099999999999</v>
      </c>
      <c r="D123" s="187">
        <v>100.78</v>
      </c>
      <c r="E123" s="187">
        <v>106.949</v>
      </c>
      <c r="F123" s="187">
        <v>121.85200000000002</v>
      </c>
      <c r="G123" s="187">
        <v>143.05399999999997</v>
      </c>
      <c r="H123" s="187">
        <v>162.59799999999998</v>
      </c>
      <c r="I123" s="187">
        <v>184.324</v>
      </c>
      <c r="J123" s="187">
        <v>213.66299999999998</v>
      </c>
      <c r="K123" s="187">
        <v>260.13599999999997</v>
      </c>
      <c r="L123" s="187">
        <v>286.637</v>
      </c>
      <c r="M123" s="187">
        <v>316.642</v>
      </c>
      <c r="N123" s="187">
        <f t="shared" si="2"/>
        <v>184.324</v>
      </c>
      <c r="O123" s="189">
        <f t="shared" si="3"/>
        <v>0.013096360300173915</v>
      </c>
      <c r="P123" s="189">
        <v>0.036750000000000005</v>
      </c>
      <c r="Q123" s="189">
        <v>0.7554486892031735</v>
      </c>
      <c r="R123" s="176">
        <v>0.03639927877394435</v>
      </c>
      <c r="S123" s="188"/>
    </row>
    <row r="124" spans="1:19" ht="12.75">
      <c r="A124">
        <v>123</v>
      </c>
      <c r="B124" s="185" t="s">
        <v>211</v>
      </c>
      <c r="C124" s="186">
        <v>15473.811000000003</v>
      </c>
      <c r="D124" s="187">
        <v>16819.011000000002</v>
      </c>
      <c r="E124" s="187">
        <v>18458.510999999995</v>
      </c>
      <c r="F124" s="187">
        <v>20468.288999999997</v>
      </c>
      <c r="G124" s="187">
        <v>22947.436</v>
      </c>
      <c r="H124" s="187">
        <v>25349.354999999996</v>
      </c>
      <c r="I124" s="187">
        <v>28720.153</v>
      </c>
      <c r="J124" s="187">
        <v>32842.959</v>
      </c>
      <c r="K124" s="187">
        <v>37896.289</v>
      </c>
      <c r="L124" s="187">
        <v>44933.96800000001</v>
      </c>
      <c r="M124" s="187">
        <v>50404.306000000004</v>
      </c>
      <c r="N124" s="187">
        <f t="shared" si="2"/>
        <v>28720.153</v>
      </c>
      <c r="O124" s="189">
        <f t="shared" si="3"/>
        <v>0.01244581426275082</v>
      </c>
      <c r="P124" s="189">
        <v>0.025657</v>
      </c>
      <c r="Q124" s="189">
        <v>0.3869173535300934</v>
      </c>
      <c r="R124" s="176">
        <v>0.039254645718912434</v>
      </c>
      <c r="S124" s="188"/>
    </row>
    <row r="125" spans="1:19" ht="12.75">
      <c r="A125">
        <v>124</v>
      </c>
      <c r="B125" s="185" t="s">
        <v>212</v>
      </c>
      <c r="C125" s="186">
        <v>442.34900000000005</v>
      </c>
      <c r="D125" s="187">
        <v>488.71</v>
      </c>
      <c r="E125" s="187">
        <v>547.0459999999999</v>
      </c>
      <c r="F125" s="187">
        <v>618.9970000000001</v>
      </c>
      <c r="G125" s="187">
        <v>706.9720000000001</v>
      </c>
      <c r="H125" s="187">
        <v>814.172</v>
      </c>
      <c r="I125" s="187">
        <v>945.1669999999999</v>
      </c>
      <c r="J125" s="187">
        <v>1101.262</v>
      </c>
      <c r="K125" s="187">
        <v>1292.559</v>
      </c>
      <c r="L125" s="187">
        <v>1472.273</v>
      </c>
      <c r="M125" s="187">
        <v>1641.41</v>
      </c>
      <c r="N125" s="187">
        <f t="shared" si="2"/>
        <v>945.1669999999999</v>
      </c>
      <c r="O125" s="189">
        <f t="shared" si="3"/>
        <v>0.01530113108405895</v>
      </c>
      <c r="P125" s="189">
        <v>0.0400655</v>
      </c>
      <c r="Q125" s="189">
        <v>0.7846413439327441</v>
      </c>
      <c r="R125" s="176">
        <v>0.03896391126477566</v>
      </c>
      <c r="S125" s="188"/>
    </row>
    <row r="126" spans="1:19" ht="12.75">
      <c r="A126">
        <v>125</v>
      </c>
      <c r="B126" s="185" t="s">
        <v>213</v>
      </c>
      <c r="C126" s="186">
        <v>591084.855</v>
      </c>
      <c r="D126" s="187">
        <v>627672.532</v>
      </c>
      <c r="E126" s="187">
        <v>658723.7529999999</v>
      </c>
      <c r="F126" s="187">
        <v>701679.2940000001</v>
      </c>
      <c r="G126" s="187">
        <v>746166.937</v>
      </c>
      <c r="H126" s="187">
        <v>794350.822</v>
      </c>
      <c r="I126" s="187">
        <v>839467.981</v>
      </c>
      <c r="J126" s="187">
        <v>875898.3470000002</v>
      </c>
      <c r="K126" s="187">
        <v>912020.4060000002</v>
      </c>
      <c r="L126" s="187">
        <v>943202.4629999999</v>
      </c>
      <c r="M126" s="187">
        <v>973484.691</v>
      </c>
      <c r="N126" s="187">
        <f t="shared" si="2"/>
        <v>839467.981</v>
      </c>
      <c r="O126" s="189">
        <f t="shared" si="3"/>
        <v>0.007040846009729984</v>
      </c>
      <c r="P126" s="189">
        <v>0.010114000000000001</v>
      </c>
      <c r="Q126" s="189">
        <v>0.6362743159328988</v>
      </c>
      <c r="R126" s="176">
        <v>0.02093677633181692</v>
      </c>
      <c r="S126" s="188"/>
    </row>
    <row r="127" spans="1:19" ht="12.75">
      <c r="A127">
        <v>126</v>
      </c>
      <c r="B127" s="185" t="s">
        <v>214</v>
      </c>
      <c r="C127" s="186">
        <v>4979.11</v>
      </c>
      <c r="D127" s="187">
        <v>5610.5</v>
      </c>
      <c r="E127" s="187">
        <v>6415.098999999999</v>
      </c>
      <c r="F127" s="187">
        <v>7206.499</v>
      </c>
      <c r="G127" s="187">
        <v>8027.7</v>
      </c>
      <c r="H127" s="187">
        <v>9141.196999999998</v>
      </c>
      <c r="I127" s="187">
        <v>11009</v>
      </c>
      <c r="J127" s="187">
        <v>12792.49</v>
      </c>
      <c r="K127" s="187">
        <v>14825.476</v>
      </c>
      <c r="L127" s="187">
        <v>17097.236</v>
      </c>
      <c r="M127" s="187">
        <v>19523.211</v>
      </c>
      <c r="N127" s="187">
        <f t="shared" si="2"/>
        <v>11009</v>
      </c>
      <c r="O127" s="189">
        <f t="shared" si="3"/>
        <v>0.015995824290603533</v>
      </c>
      <c r="P127" s="189">
        <v>0.028228000000000003</v>
      </c>
      <c r="Q127" s="189">
        <v>0.7567438199181719</v>
      </c>
      <c r="R127" s="176">
        <v>0.040043629754051485</v>
      </c>
      <c r="S127" s="188"/>
    </row>
    <row r="128" spans="1:19" ht="12.75">
      <c r="A128">
        <v>127</v>
      </c>
      <c r="B128" s="185" t="s">
        <v>215</v>
      </c>
      <c r="C128" s="186">
        <v>3612.9989999999993</v>
      </c>
      <c r="D128" s="187">
        <v>3943.2179999999994</v>
      </c>
      <c r="E128" s="187">
        <v>4334.67</v>
      </c>
      <c r="F128" s="187">
        <v>4783.768000000001</v>
      </c>
      <c r="G128" s="187">
        <v>5247.299000000001</v>
      </c>
      <c r="H128" s="187">
        <v>5828.147</v>
      </c>
      <c r="I128" s="187">
        <v>6590.898</v>
      </c>
      <c r="J128" s="187">
        <v>7352.737999999999</v>
      </c>
      <c r="K128" s="187">
        <v>7638.103</v>
      </c>
      <c r="L128" s="187">
        <v>9166.864</v>
      </c>
      <c r="M128" s="187">
        <v>10255.149</v>
      </c>
      <c r="N128" s="187">
        <f t="shared" si="2"/>
        <v>6590.898</v>
      </c>
      <c r="O128" s="189">
        <f t="shared" si="3"/>
        <v>0.012095595760873046</v>
      </c>
      <c r="P128" s="189">
        <v>0.020109000000000002</v>
      </c>
      <c r="Q128" s="189">
        <v>0.36720906140509185</v>
      </c>
      <c r="R128" s="176">
        <v>0.03842427330745993</v>
      </c>
      <c r="S128" s="188"/>
    </row>
    <row r="129" spans="1:19" ht="12.75">
      <c r="A129">
        <v>128</v>
      </c>
      <c r="B129" s="185" t="s">
        <v>22</v>
      </c>
      <c r="C129" s="186">
        <v>11093.428</v>
      </c>
      <c r="D129" s="187">
        <v>11752.476999999999</v>
      </c>
      <c r="E129" s="187">
        <v>12794.982</v>
      </c>
      <c r="F129" s="187">
        <v>14174.577000000001</v>
      </c>
      <c r="G129" s="187">
        <v>15878.24</v>
      </c>
      <c r="H129" s="187">
        <v>17836.243000000002</v>
      </c>
      <c r="I129" s="187">
        <v>20033.402000000006</v>
      </c>
      <c r="J129" s="187">
        <v>22594.954</v>
      </c>
      <c r="K129" s="187">
        <v>25474.339</v>
      </c>
      <c r="L129" s="187">
        <v>28778.108</v>
      </c>
      <c r="M129" s="187">
        <v>31942.719</v>
      </c>
      <c r="N129" s="187">
        <f t="shared" si="2"/>
        <v>20033.402000000006</v>
      </c>
      <c r="O129" s="189">
        <f t="shared" si="3"/>
        <v>0.011891106083812053</v>
      </c>
      <c r="P129" s="189">
        <v>0.0307735</v>
      </c>
      <c r="Q129" s="189">
        <v>0.7438405928632645</v>
      </c>
      <c r="R129" s="176">
        <v>0.03472046018487534</v>
      </c>
      <c r="S129" s="188"/>
    </row>
    <row r="130" spans="1:19" ht="12.75">
      <c r="A130">
        <v>129</v>
      </c>
      <c r="B130" s="185" t="s">
        <v>216</v>
      </c>
      <c r="C130" s="186">
        <v>301.33099999999996</v>
      </c>
      <c r="D130" s="187">
        <v>330.423</v>
      </c>
      <c r="E130" s="187">
        <v>364.17</v>
      </c>
      <c r="F130" s="187">
        <v>406.26200000000006</v>
      </c>
      <c r="G130" s="187">
        <v>453.0760000000001</v>
      </c>
      <c r="H130" s="187">
        <v>508.5880000000001</v>
      </c>
      <c r="I130" s="187">
        <v>538.3209999999999</v>
      </c>
      <c r="J130" s="187">
        <v>600.566</v>
      </c>
      <c r="K130" s="187">
        <v>778.8860000000001</v>
      </c>
      <c r="L130" s="187">
        <v>894.707</v>
      </c>
      <c r="M130" s="187">
        <v>988.2009999999999</v>
      </c>
      <c r="N130" s="187">
        <f t="shared" si="2"/>
        <v>538.3209999999999</v>
      </c>
      <c r="O130" s="189">
        <f t="shared" si="3"/>
        <v>0.011672512417504555</v>
      </c>
      <c r="P130" s="189">
        <v>0.036683499999999994</v>
      </c>
      <c r="Q130" s="189">
        <v>0.5846729258707009</v>
      </c>
      <c r="R130" s="176">
        <v>0.03876389648619145</v>
      </c>
      <c r="S130" s="188"/>
    </row>
    <row r="131" spans="1:19" ht="12.75">
      <c r="A131">
        <v>130</v>
      </c>
      <c r="B131" s="185" t="s">
        <v>13</v>
      </c>
      <c r="C131" s="186">
        <v>5205.905</v>
      </c>
      <c r="D131" s="187">
        <v>5576.19</v>
      </c>
      <c r="E131" s="187">
        <v>6016.328</v>
      </c>
      <c r="F131" s="187">
        <v>6539.338</v>
      </c>
      <c r="G131" s="187">
        <v>7105.994000000001</v>
      </c>
      <c r="H131" s="187">
        <v>7787.901999999998</v>
      </c>
      <c r="I131" s="187">
        <v>8637.940999999999</v>
      </c>
      <c r="J131" s="187">
        <v>9581.753</v>
      </c>
      <c r="K131" s="187">
        <v>10695.582</v>
      </c>
      <c r="L131" s="187">
        <v>12011.587</v>
      </c>
      <c r="M131" s="187">
        <v>13587.805000000002</v>
      </c>
      <c r="N131" s="187">
        <f aca="true" t="shared" si="4" ref="N131:N194">HLOOKUP($N$1,$C$1:$M$214,A131+1)</f>
        <v>8637.940999999999</v>
      </c>
      <c r="O131" s="189">
        <f aca="true" t="shared" si="5" ref="O131:O194">(N131/C131)^(1/50)-1</f>
        <v>0.010178869532391666</v>
      </c>
      <c r="P131" s="189">
        <v>0.0397405</v>
      </c>
      <c r="Q131" s="189">
        <v>0.7815327843760116</v>
      </c>
      <c r="R131" s="176">
        <v>0.036056414923754804</v>
      </c>
      <c r="S131" s="188"/>
    </row>
    <row r="132" spans="1:19" ht="12.75">
      <c r="A132">
        <v>131</v>
      </c>
      <c r="B132" s="185" t="s">
        <v>217</v>
      </c>
      <c r="C132" s="186">
        <v>7150</v>
      </c>
      <c r="D132" s="187">
        <v>7537</v>
      </c>
      <c r="E132" s="187">
        <v>8041.643</v>
      </c>
      <c r="F132" s="187">
        <v>8819.96</v>
      </c>
      <c r="G132" s="187">
        <v>9480.527</v>
      </c>
      <c r="H132" s="187">
        <v>10203.128</v>
      </c>
      <c r="I132" s="187">
        <v>10990.627999999999</v>
      </c>
      <c r="J132" s="187">
        <v>11672.43</v>
      </c>
      <c r="K132" s="187">
        <v>12224.925</v>
      </c>
      <c r="L132" s="187">
        <v>12615.8</v>
      </c>
      <c r="M132" s="187">
        <v>12961.943</v>
      </c>
      <c r="N132" s="187">
        <f t="shared" si="4"/>
        <v>10990.627999999999</v>
      </c>
      <c r="O132" s="189">
        <f t="shared" si="5"/>
        <v>0.008635685300896201</v>
      </c>
      <c r="P132" s="189">
        <v>0.012574</v>
      </c>
      <c r="Q132" s="189">
        <v>0.7301804267720524</v>
      </c>
      <c r="R132" s="176">
        <v>0.021216465893559487</v>
      </c>
      <c r="S132" s="188"/>
    </row>
    <row r="133" spans="1:19" ht="12.75">
      <c r="A133">
        <v>132</v>
      </c>
      <c r="B133" s="185" t="s">
        <v>218</v>
      </c>
      <c r="C133" s="186">
        <v>72.39300000000001</v>
      </c>
      <c r="D133" s="187">
        <v>73.194</v>
      </c>
      <c r="E133" s="187">
        <v>78.88799999999999</v>
      </c>
      <c r="F133" s="187">
        <v>87.359</v>
      </c>
      <c r="G133" s="187">
        <v>100.635</v>
      </c>
      <c r="H133" s="187">
        <v>111.578</v>
      </c>
      <c r="I133" s="187">
        <v>121.599</v>
      </c>
      <c r="J133" s="187">
        <v>130.78199999999998</v>
      </c>
      <c r="K133" s="187">
        <v>137.796</v>
      </c>
      <c r="L133" s="187">
        <v>151.25400000000005</v>
      </c>
      <c r="M133" s="187">
        <v>162.265</v>
      </c>
      <c r="N133" s="187">
        <f t="shared" si="4"/>
        <v>121.599</v>
      </c>
      <c r="O133" s="189">
        <f t="shared" si="5"/>
        <v>0.010426362356313224</v>
      </c>
      <c r="P133" s="189">
        <v>0.017335</v>
      </c>
      <c r="Q133" s="189">
        <v>0.64574243290365</v>
      </c>
      <c r="R133" s="176">
        <v>0.030105256242278233</v>
      </c>
      <c r="S133" s="188"/>
    </row>
    <row r="134" spans="1:19" ht="12.75">
      <c r="A134">
        <v>133</v>
      </c>
      <c r="B134" s="185" t="s">
        <v>219</v>
      </c>
      <c r="C134" s="186">
        <v>41.18900000000001</v>
      </c>
      <c r="D134" s="187">
        <v>42.976</v>
      </c>
      <c r="E134" s="187">
        <v>48.435</v>
      </c>
      <c r="F134" s="187">
        <v>55.50099999999999</v>
      </c>
      <c r="G134" s="187">
        <v>63.87</v>
      </c>
      <c r="H134" s="187">
        <v>79.00100000000002</v>
      </c>
      <c r="I134" s="187">
        <v>89.653</v>
      </c>
      <c r="J134" s="187">
        <v>101.15400000000001</v>
      </c>
      <c r="K134" s="187">
        <v>115.831</v>
      </c>
      <c r="L134" s="187">
        <v>133.45399999999998</v>
      </c>
      <c r="M134" s="187">
        <v>150.85</v>
      </c>
      <c r="N134" s="187">
        <f t="shared" si="4"/>
        <v>89.653</v>
      </c>
      <c r="O134" s="189">
        <f t="shared" si="5"/>
        <v>0.01567712536054744</v>
      </c>
      <c r="P134" s="189">
        <v>0.028530000000000003</v>
      </c>
      <c r="Q134" s="189">
        <v>0.781107554941605</v>
      </c>
      <c r="R134" s="176">
        <v>0.03220601513548678</v>
      </c>
      <c r="S134" s="188"/>
    </row>
    <row r="135" spans="1:19" ht="12.75">
      <c r="A135">
        <v>134</v>
      </c>
      <c r="B135" s="185" t="s">
        <v>220</v>
      </c>
      <c r="C135" s="186">
        <v>1353</v>
      </c>
      <c r="D135" s="187">
        <v>1469.002</v>
      </c>
      <c r="E135" s="187">
        <v>1591.998</v>
      </c>
      <c r="F135" s="187">
        <v>1771.001</v>
      </c>
      <c r="G135" s="187">
        <v>1924.1589999999997</v>
      </c>
      <c r="H135" s="187">
        <v>2158.309</v>
      </c>
      <c r="I135" s="187">
        <v>2281.1020000000003</v>
      </c>
      <c r="J135" s="187">
        <v>2456.0539999999996</v>
      </c>
      <c r="K135" s="187">
        <v>2574.7639999999997</v>
      </c>
      <c r="L135" s="187">
        <v>2771.473</v>
      </c>
      <c r="M135" s="187">
        <v>2910.8089999999997</v>
      </c>
      <c r="N135" s="187">
        <f t="shared" si="4"/>
        <v>2281.1020000000003</v>
      </c>
      <c r="O135" s="189">
        <f t="shared" si="5"/>
        <v>0.010501443343980066</v>
      </c>
      <c r="P135" s="189">
        <v>0.01492</v>
      </c>
      <c r="Q135" s="189">
        <v>0.6749984691084111</v>
      </c>
      <c r="R135" s="176">
        <v>0.024128556425257252</v>
      </c>
      <c r="S135" s="188"/>
    </row>
    <row r="136" spans="1:19" ht="12.75">
      <c r="A136">
        <v>135</v>
      </c>
      <c r="B136" s="185" t="s">
        <v>221</v>
      </c>
      <c r="C136" s="186">
        <v>628.3439999999998</v>
      </c>
      <c r="D136" s="187">
        <v>707.4539999999998</v>
      </c>
      <c r="E136" s="187">
        <v>801.432</v>
      </c>
      <c r="F136" s="187">
        <v>924.901</v>
      </c>
      <c r="G136" s="187">
        <v>1094.427</v>
      </c>
      <c r="H136" s="187">
        <v>1297.354</v>
      </c>
      <c r="I136" s="187">
        <v>1528.1729999999998</v>
      </c>
      <c r="J136" s="187">
        <v>1780.732</v>
      </c>
      <c r="K136" s="187">
        <v>2051.184</v>
      </c>
      <c r="L136" s="187">
        <v>2435.92</v>
      </c>
      <c r="M136" s="187">
        <v>2909.681</v>
      </c>
      <c r="N136" s="187">
        <f t="shared" si="4"/>
        <v>1528.1729999999998</v>
      </c>
      <c r="O136" s="189">
        <f t="shared" si="5"/>
        <v>0.017933719966014117</v>
      </c>
      <c r="P136" s="189">
        <v>0.0281615</v>
      </c>
      <c r="Q136" s="189">
        <v>0.442312945003624</v>
      </c>
      <c r="R136" s="176">
        <v>0.04427385537376948</v>
      </c>
      <c r="S136" s="188"/>
    </row>
    <row r="137" spans="1:19" ht="12.75">
      <c r="A137">
        <v>136</v>
      </c>
      <c r="B137" s="185" t="s">
        <v>222</v>
      </c>
      <c r="C137" s="186">
        <v>1399.934</v>
      </c>
      <c r="D137" s="187">
        <v>1552.665</v>
      </c>
      <c r="E137" s="187">
        <v>1697.285</v>
      </c>
      <c r="F137" s="187">
        <v>1888.8120000000001</v>
      </c>
      <c r="G137" s="187">
        <v>2158.4239999999995</v>
      </c>
      <c r="H137" s="187">
        <v>2480.8660000000004</v>
      </c>
      <c r="I137" s="187">
        <v>2855.1809999999996</v>
      </c>
      <c r="J137" s="187">
        <v>3303.3340000000003</v>
      </c>
      <c r="K137" s="187">
        <v>3859.695</v>
      </c>
      <c r="L137" s="187">
        <v>4576.3420000000015</v>
      </c>
      <c r="M137" s="187">
        <v>5430.229</v>
      </c>
      <c r="N137" s="187">
        <f t="shared" si="4"/>
        <v>2855.1809999999996</v>
      </c>
      <c r="O137" s="189">
        <f t="shared" si="5"/>
        <v>0.014356278495649688</v>
      </c>
      <c r="P137" s="189">
        <v>0.042529</v>
      </c>
      <c r="Q137" s="189">
        <v>0.5548184123354439</v>
      </c>
      <c r="R137" s="176">
        <v>0.043845778456908985</v>
      </c>
      <c r="S137" s="188"/>
    </row>
    <row r="138" spans="1:19" ht="12.75">
      <c r="A138">
        <v>137</v>
      </c>
      <c r="B138" s="185" t="s">
        <v>223</v>
      </c>
      <c r="C138" s="186">
        <v>17362.793999999998</v>
      </c>
      <c r="D138" s="187">
        <v>19108.548000000003</v>
      </c>
      <c r="E138" s="187">
        <v>21132.541999999998</v>
      </c>
      <c r="F138" s="187">
        <v>23390.873</v>
      </c>
      <c r="G138" s="187">
        <v>26482.772</v>
      </c>
      <c r="H138" s="187">
        <v>30171.03899999999</v>
      </c>
      <c r="I138" s="187">
        <v>35274.182</v>
      </c>
      <c r="J138" s="187">
        <v>39983.709</v>
      </c>
      <c r="K138" s="187">
        <v>46184.91</v>
      </c>
      <c r="L138" s="187">
        <v>53718.32700000001</v>
      </c>
      <c r="M138" s="187">
        <v>62561.902</v>
      </c>
      <c r="N138" s="187">
        <f t="shared" si="4"/>
        <v>35274.182</v>
      </c>
      <c r="O138" s="189">
        <f t="shared" si="5"/>
        <v>0.014277395506690604</v>
      </c>
      <c r="P138" s="189">
        <v>0.055404499999999995</v>
      </c>
      <c r="Q138" s="189">
        <v>0.821193503102553</v>
      </c>
      <c r="R138" s="176">
        <v>0.040242828527252056</v>
      </c>
      <c r="S138" s="188"/>
    </row>
    <row r="139" spans="1:19" ht="12.75">
      <c r="A139">
        <v>138</v>
      </c>
      <c r="B139" s="185" t="s">
        <v>224</v>
      </c>
      <c r="C139" s="186">
        <v>31317.704</v>
      </c>
      <c r="D139" s="187">
        <v>34592.592</v>
      </c>
      <c r="E139" s="187">
        <v>38124.057</v>
      </c>
      <c r="F139" s="187">
        <v>42058.02</v>
      </c>
      <c r="G139" s="187">
        <v>47752.435000000005</v>
      </c>
      <c r="H139" s="187">
        <v>54636.361</v>
      </c>
      <c r="I139" s="187">
        <v>63729.76699999999</v>
      </c>
      <c r="J139" s="187">
        <v>74352.76799999998</v>
      </c>
      <c r="K139" s="187">
        <v>85024.06300000002</v>
      </c>
      <c r="L139" s="187">
        <v>97721.15300000002</v>
      </c>
      <c r="M139" s="187">
        <v>112066.047</v>
      </c>
      <c r="N139" s="187">
        <f t="shared" si="4"/>
        <v>63729.76699999999</v>
      </c>
      <c r="O139" s="189">
        <f t="shared" si="5"/>
        <v>0.014310796725836239</v>
      </c>
      <c r="P139" s="189">
        <v>0.03615</v>
      </c>
      <c r="Q139" s="189">
        <v>0.7200064364648107</v>
      </c>
      <c r="R139" s="176">
        <v>0.03829776332691982</v>
      </c>
      <c r="S139" s="188"/>
    </row>
    <row r="140" spans="1:19" ht="12.75">
      <c r="A140">
        <v>139</v>
      </c>
      <c r="B140" s="185" t="s">
        <v>225</v>
      </c>
      <c r="C140" s="186">
        <v>124924.81099999999</v>
      </c>
      <c r="D140" s="187">
        <v>131337.28399999999</v>
      </c>
      <c r="E140" s="187">
        <v>140717.415</v>
      </c>
      <c r="F140" s="187">
        <v>152169.51899999997</v>
      </c>
      <c r="G140" s="187">
        <v>165806.909</v>
      </c>
      <c r="H140" s="187">
        <v>181907.863</v>
      </c>
      <c r="I140" s="187">
        <v>197529.36900000004</v>
      </c>
      <c r="J140" s="187">
        <v>210215.972</v>
      </c>
      <c r="K140" s="187">
        <v>221016.05399999997</v>
      </c>
      <c r="L140" s="187">
        <v>232537.07899999997</v>
      </c>
      <c r="M140" s="187">
        <v>246696.38400000002</v>
      </c>
      <c r="N140" s="187">
        <f t="shared" si="4"/>
        <v>197529.36900000004</v>
      </c>
      <c r="O140" s="189">
        <f t="shared" si="5"/>
        <v>0.009205618101319368</v>
      </c>
      <c r="P140" s="189">
        <v>0.0288385</v>
      </c>
      <c r="Q140" s="189">
        <v>0.67558</v>
      </c>
      <c r="R140" s="176">
        <v>0.02180536693997512</v>
      </c>
      <c r="S140" s="188"/>
    </row>
    <row r="141" spans="1:19" ht="12.75">
      <c r="A141">
        <v>140</v>
      </c>
      <c r="B141" s="185" t="s">
        <v>226</v>
      </c>
      <c r="C141" s="186">
        <v>59599.064000000006</v>
      </c>
      <c r="D141" s="187">
        <v>60423.718</v>
      </c>
      <c r="E141" s="187">
        <v>62030.82699999999</v>
      </c>
      <c r="F141" s="187">
        <v>64769.371</v>
      </c>
      <c r="G141" s="187">
        <v>66231.051</v>
      </c>
      <c r="H141" s="187">
        <v>68282.34199999999</v>
      </c>
      <c r="I141" s="187">
        <v>70762.24899999998</v>
      </c>
      <c r="J141" s="187">
        <v>72909.02600000001</v>
      </c>
      <c r="K141" s="187">
        <v>74445.408</v>
      </c>
      <c r="L141" s="187">
        <v>75605.35799999998</v>
      </c>
      <c r="M141" s="187">
        <v>77088.25499999998</v>
      </c>
      <c r="N141" s="187">
        <f t="shared" si="4"/>
        <v>70762.24899999998</v>
      </c>
      <c r="O141" s="189">
        <f t="shared" si="5"/>
        <v>0.003439617615497159</v>
      </c>
      <c r="P141" s="189">
        <v>0.012785000000000001</v>
      </c>
      <c r="Q141" s="189">
        <v>0.8782267181392788</v>
      </c>
      <c r="R141" s="176">
        <v>0.01861817978474798</v>
      </c>
      <c r="S141" s="188"/>
    </row>
    <row r="142" spans="1:19" ht="12.75">
      <c r="A142">
        <v>141</v>
      </c>
      <c r="B142" s="185" t="s">
        <v>227</v>
      </c>
      <c r="C142" s="186">
        <v>2467</v>
      </c>
      <c r="D142" s="187">
        <v>2548</v>
      </c>
      <c r="E142" s="187">
        <v>2653.998</v>
      </c>
      <c r="F142" s="187">
        <v>2801.001</v>
      </c>
      <c r="G142" s="187">
        <v>2928.393</v>
      </c>
      <c r="H142" s="187">
        <v>3053.829</v>
      </c>
      <c r="I142" s="187">
        <v>3179.933</v>
      </c>
      <c r="J142" s="187">
        <v>3321.82</v>
      </c>
      <c r="K142" s="187">
        <v>3438.169</v>
      </c>
      <c r="L142" s="187">
        <v>3509.9230000000002</v>
      </c>
      <c r="M142" s="187">
        <v>3586.2110000000002</v>
      </c>
      <c r="N142" s="187">
        <f t="shared" si="4"/>
        <v>3179.933</v>
      </c>
      <c r="O142" s="189">
        <f t="shared" si="5"/>
        <v>0.005090056341856997</v>
      </c>
      <c r="P142" s="189">
        <v>0.0145545</v>
      </c>
      <c r="Q142" s="189">
        <v>0.9583147610710757</v>
      </c>
      <c r="R142" s="176">
        <v>0.01890189214774953</v>
      </c>
      <c r="S142" s="188"/>
    </row>
    <row r="143" spans="1:19" ht="12.75">
      <c r="A143">
        <v>142</v>
      </c>
      <c r="B143" s="185" t="s">
        <v>228</v>
      </c>
      <c r="C143" s="186">
        <v>545.528</v>
      </c>
      <c r="D143" s="187">
        <v>571.491</v>
      </c>
      <c r="E143" s="187">
        <v>612.054</v>
      </c>
      <c r="F143" s="187">
        <v>661.155</v>
      </c>
      <c r="G143" s="187">
        <v>602.903</v>
      </c>
      <c r="H143" s="187">
        <v>676.65</v>
      </c>
      <c r="I143" s="187">
        <v>774.325</v>
      </c>
      <c r="J143" s="187">
        <v>952.8489999999999</v>
      </c>
      <c r="K143" s="187">
        <v>1148.165</v>
      </c>
      <c r="L143" s="187">
        <v>1431.016</v>
      </c>
      <c r="M143" s="187">
        <v>1709.19</v>
      </c>
      <c r="N143" s="187">
        <f t="shared" si="4"/>
        <v>774.325</v>
      </c>
      <c r="O143" s="189">
        <f t="shared" si="5"/>
        <v>0.007029341633494779</v>
      </c>
      <c r="P143" s="189">
        <v>0.026143000000000003</v>
      </c>
      <c r="Q143" s="189">
        <v>0.3684740742956325</v>
      </c>
      <c r="R143" s="176">
        <v>0.04262697690611906</v>
      </c>
      <c r="S143" s="188"/>
    </row>
    <row r="144" spans="1:19" ht="12.75">
      <c r="A144">
        <v>143</v>
      </c>
      <c r="B144" s="185" t="s">
        <v>229</v>
      </c>
      <c r="C144" s="186">
        <v>8867.99</v>
      </c>
      <c r="D144" s="187">
        <v>9578.351</v>
      </c>
      <c r="E144" s="187">
        <v>10483.986</v>
      </c>
      <c r="F144" s="187">
        <v>11683.842</v>
      </c>
      <c r="G144" s="187">
        <v>13001.026</v>
      </c>
      <c r="H144" s="187">
        <v>14681.277000000002</v>
      </c>
      <c r="I144" s="187">
        <v>15949.616</v>
      </c>
      <c r="J144" s="187">
        <v>17575.835</v>
      </c>
      <c r="K144" s="187">
        <v>19372.724000000002</v>
      </c>
      <c r="L144" s="187">
        <v>21025.233</v>
      </c>
      <c r="M144" s="187">
        <v>22767.07</v>
      </c>
      <c r="N144" s="187">
        <f t="shared" si="4"/>
        <v>15949.616</v>
      </c>
      <c r="O144" s="189">
        <f t="shared" si="5"/>
        <v>0.011808912900820312</v>
      </c>
      <c r="P144" s="189">
        <v>0.015896999999999998</v>
      </c>
      <c r="Q144" s="189">
        <v>0.5612591443575554</v>
      </c>
      <c r="R144" s="176">
        <v>0.025406538745806142</v>
      </c>
      <c r="S144" s="188"/>
    </row>
    <row r="145" spans="1:19" ht="12.75">
      <c r="A145">
        <v>144</v>
      </c>
      <c r="B145" s="185" t="s">
        <v>50</v>
      </c>
      <c r="C145" s="186">
        <v>263.20599999999996</v>
      </c>
      <c r="D145" s="187">
        <v>290.085</v>
      </c>
      <c r="E145" s="187">
        <v>316.59099999999995</v>
      </c>
      <c r="F145" s="187">
        <v>354.17299999999994</v>
      </c>
      <c r="G145" s="187">
        <v>403.80899999999997</v>
      </c>
      <c r="H145" s="187">
        <v>490.12800000000004</v>
      </c>
      <c r="I145" s="187">
        <v>625.99</v>
      </c>
      <c r="J145" s="187">
        <v>782.7330000000001</v>
      </c>
      <c r="K145" s="187">
        <v>956.3509999999999</v>
      </c>
      <c r="L145" s="187">
        <v>1165.08</v>
      </c>
      <c r="M145" s="187">
        <v>1419.3240000000003</v>
      </c>
      <c r="N145" s="187">
        <f t="shared" si="4"/>
        <v>625.99</v>
      </c>
      <c r="O145" s="189">
        <f t="shared" si="5"/>
        <v>0.017478947822419766</v>
      </c>
      <c r="P145" s="189">
        <v>0.04535</v>
      </c>
      <c r="Q145" s="189">
        <v>0.5682628656296034</v>
      </c>
      <c r="R145" s="176">
        <v>0.039266238486936195</v>
      </c>
      <c r="S145" s="188"/>
    </row>
    <row r="146" spans="1:19" ht="12.75">
      <c r="A146">
        <v>145</v>
      </c>
      <c r="B146" s="185" t="s">
        <v>230</v>
      </c>
      <c r="C146" s="186">
        <v>24613.063</v>
      </c>
      <c r="D146" s="187">
        <v>26711.324999999997</v>
      </c>
      <c r="E146" s="187">
        <v>29111.014000000006</v>
      </c>
      <c r="F146" s="187">
        <v>32016.582</v>
      </c>
      <c r="G146" s="187">
        <v>35957.07099999998</v>
      </c>
      <c r="H146" s="187">
        <v>40787.558</v>
      </c>
      <c r="I146" s="187">
        <v>47266.832</v>
      </c>
      <c r="J146" s="187">
        <v>55433.06299999998</v>
      </c>
      <c r="K146" s="187">
        <v>63705.348000000005</v>
      </c>
      <c r="L146" s="187">
        <v>70947.168</v>
      </c>
      <c r="M146" s="187">
        <v>82235.057</v>
      </c>
      <c r="N146" s="187">
        <f t="shared" si="4"/>
        <v>47266.832</v>
      </c>
      <c r="O146" s="189">
        <f t="shared" si="5"/>
        <v>0.013136161247439437</v>
      </c>
      <c r="P146" s="189">
        <v>0.038087</v>
      </c>
      <c r="Q146" s="189">
        <v>0.676365108204446</v>
      </c>
      <c r="R146" s="176">
        <v>0.03615139857571182</v>
      </c>
      <c r="S146" s="188"/>
    </row>
    <row r="147" spans="1:19" ht="12.75">
      <c r="A147">
        <v>146</v>
      </c>
      <c r="B147" s="185" t="s">
        <v>231</v>
      </c>
      <c r="C147" s="186">
        <v>513.936</v>
      </c>
      <c r="D147" s="187">
        <v>567.935</v>
      </c>
      <c r="E147" s="187">
        <v>642.505</v>
      </c>
      <c r="F147" s="187">
        <v>732.361</v>
      </c>
      <c r="G147" s="187">
        <v>844.7520000000001</v>
      </c>
      <c r="H147" s="187">
        <v>984.543</v>
      </c>
      <c r="I147" s="187">
        <v>1159.8940000000002</v>
      </c>
      <c r="J147" s="187">
        <v>1353.1239999999998</v>
      </c>
      <c r="K147" s="187">
        <v>1551.551</v>
      </c>
      <c r="L147" s="187">
        <v>1753.0429999999997</v>
      </c>
      <c r="M147" s="187">
        <v>1961.9769999999999</v>
      </c>
      <c r="N147" s="187">
        <f t="shared" si="4"/>
        <v>1159.8940000000002</v>
      </c>
      <c r="O147" s="189">
        <f t="shared" si="5"/>
        <v>0.016412939532040927</v>
      </c>
      <c r="P147" s="189">
        <v>0.0384835</v>
      </c>
      <c r="Q147" s="189">
        <v>0.67558</v>
      </c>
      <c r="R147" s="176">
        <v>0.03610556647315861</v>
      </c>
      <c r="S147" s="188"/>
    </row>
    <row r="148" spans="1:19" ht="12.75">
      <c r="A148">
        <v>147</v>
      </c>
      <c r="B148" s="185" t="s">
        <v>15</v>
      </c>
      <c r="C148" s="186">
        <v>978.785</v>
      </c>
      <c r="D148" s="187">
        <v>1020.765</v>
      </c>
      <c r="E148" s="187">
        <v>1082.074</v>
      </c>
      <c r="F148" s="187">
        <v>1172.502</v>
      </c>
      <c r="G148" s="187">
        <v>1306.373</v>
      </c>
      <c r="H148" s="187">
        <v>1467.277</v>
      </c>
      <c r="I148" s="187">
        <v>1661.084</v>
      </c>
      <c r="J148" s="187">
        <v>1893.45</v>
      </c>
      <c r="K148" s="187">
        <v>2187.972</v>
      </c>
      <c r="L148" s="187">
        <v>2490.136</v>
      </c>
      <c r="M148" s="187">
        <v>2880.2009999999996</v>
      </c>
      <c r="N148" s="187">
        <f t="shared" si="4"/>
        <v>1661.084</v>
      </c>
      <c r="O148" s="189">
        <f t="shared" si="5"/>
        <v>0.010634421216571877</v>
      </c>
      <c r="P148" s="189">
        <v>0.02422</v>
      </c>
      <c r="Q148" s="189">
        <v>0.43691597582308017</v>
      </c>
      <c r="R148" s="176">
        <v>0.039391022910265354</v>
      </c>
      <c r="S148" s="188"/>
    </row>
    <row r="149" spans="1:19" ht="12.75">
      <c r="A149">
        <v>148</v>
      </c>
      <c r="B149" s="185" t="s">
        <v>232</v>
      </c>
      <c r="C149" s="186">
        <v>908.4639999999999</v>
      </c>
      <c r="D149" s="187">
        <v>966.374</v>
      </c>
      <c r="E149" s="187">
        <v>1029.6979999999999</v>
      </c>
      <c r="F149" s="187">
        <v>1124.4569999999999</v>
      </c>
      <c r="G149" s="187">
        <v>1300.7720000000002</v>
      </c>
      <c r="H149" s="187">
        <v>1499.598</v>
      </c>
      <c r="I149" s="187">
        <v>1801.0869999999998</v>
      </c>
      <c r="J149" s="187">
        <v>2088.035</v>
      </c>
      <c r="K149" s="187">
        <v>2447.2840000000006</v>
      </c>
      <c r="L149" s="187">
        <v>2819</v>
      </c>
      <c r="M149" s="187">
        <v>3323.739</v>
      </c>
      <c r="N149" s="187">
        <f t="shared" si="4"/>
        <v>1801.0869999999998</v>
      </c>
      <c r="O149" s="189">
        <f t="shared" si="5"/>
        <v>0.013781914707476028</v>
      </c>
      <c r="P149" s="189">
        <v>0.0249335</v>
      </c>
      <c r="Q149" s="189">
        <v>0.45186364448064725</v>
      </c>
      <c r="R149" s="176">
        <v>0.03918256621013859</v>
      </c>
      <c r="S149" s="188"/>
    </row>
    <row r="150" spans="1:19" ht="12.75">
      <c r="A150">
        <v>149</v>
      </c>
      <c r="B150" s="185" t="s">
        <v>233</v>
      </c>
      <c r="C150" s="186">
        <v>4459.963</v>
      </c>
      <c r="D150" s="187">
        <v>5004.781000000002</v>
      </c>
      <c r="E150" s="187">
        <v>5629.1630000000005</v>
      </c>
      <c r="F150" s="187">
        <v>6404.7210000000005</v>
      </c>
      <c r="G150" s="187">
        <v>7386.835000000001</v>
      </c>
      <c r="H150" s="187">
        <v>8605.023000000001</v>
      </c>
      <c r="I150" s="187">
        <v>10061.171</v>
      </c>
      <c r="J150" s="187">
        <v>11662.076</v>
      </c>
      <c r="K150" s="187">
        <v>13313.362999999998</v>
      </c>
      <c r="L150" s="187">
        <v>15078.992000000002</v>
      </c>
      <c r="M150" s="187">
        <v>17094.43</v>
      </c>
      <c r="N150" s="187">
        <f t="shared" si="4"/>
        <v>10061.171</v>
      </c>
      <c r="O150" s="189">
        <f t="shared" si="5"/>
        <v>0.0164039531178386</v>
      </c>
      <c r="P150" s="189">
        <v>0.035322000000000006</v>
      </c>
      <c r="Q150" s="189">
        <v>0.7919036086735302</v>
      </c>
      <c r="R150" s="176">
        <v>0.03771182671413236</v>
      </c>
      <c r="S150" s="188"/>
    </row>
    <row r="151" spans="1:19" ht="12.75">
      <c r="A151">
        <v>150</v>
      </c>
      <c r="B151" s="185" t="s">
        <v>16</v>
      </c>
      <c r="C151" s="186">
        <v>11279.544999999998</v>
      </c>
      <c r="D151" s="187">
        <v>12759.864999999994</v>
      </c>
      <c r="E151" s="187">
        <v>14647.952999999998</v>
      </c>
      <c r="F151" s="187">
        <v>16973.673</v>
      </c>
      <c r="G151" s="187">
        <v>19983.566999999995</v>
      </c>
      <c r="H151" s="187">
        <v>23444.695000000007</v>
      </c>
      <c r="I151" s="187">
        <v>27354.181999999997</v>
      </c>
      <c r="J151" s="187">
        <v>31439.631999999998</v>
      </c>
      <c r="K151" s="187">
        <v>36101.352</v>
      </c>
      <c r="L151" s="187">
        <v>41378.712999999996</v>
      </c>
      <c r="M151" s="187">
        <v>47258.247</v>
      </c>
      <c r="N151" s="187">
        <f t="shared" si="4"/>
        <v>27354.181999999997</v>
      </c>
      <c r="O151" s="189">
        <f t="shared" si="5"/>
        <v>0.017875457541190798</v>
      </c>
      <c r="P151" s="189">
        <v>0.030602499999999994</v>
      </c>
      <c r="Q151" s="189">
        <v>0.6036519917854237</v>
      </c>
      <c r="R151" s="176">
        <v>0.04049053730184407</v>
      </c>
      <c r="S151" s="188"/>
    </row>
    <row r="152" spans="1:19" ht="12.75">
      <c r="A152">
        <v>151</v>
      </c>
      <c r="B152" s="185" t="s">
        <v>59</v>
      </c>
      <c r="C152" s="186">
        <v>17529.002</v>
      </c>
      <c r="D152" s="187">
        <v>18833.001</v>
      </c>
      <c r="E152" s="187">
        <v>19719.935</v>
      </c>
      <c r="F152" s="187">
        <v>21683.798</v>
      </c>
      <c r="G152" s="187">
        <v>23856.048</v>
      </c>
      <c r="H152" s="187">
        <v>25841.243000000002</v>
      </c>
      <c r="I152" s="187">
        <v>26945.674</v>
      </c>
      <c r="J152" s="187">
        <v>27703.059</v>
      </c>
      <c r="K152" s="187">
        <v>28537.466000000004</v>
      </c>
      <c r="L152" s="187">
        <v>29794.666999999998</v>
      </c>
      <c r="M152" s="187">
        <v>31210.040999999997</v>
      </c>
      <c r="N152" s="187">
        <f t="shared" si="4"/>
        <v>26945.674</v>
      </c>
      <c r="O152" s="189">
        <f t="shared" si="5"/>
        <v>0.00863640033748414</v>
      </c>
      <c r="P152" s="189">
        <v>0.011839999999999998</v>
      </c>
      <c r="Q152" s="189">
        <v>0.5412849180546272</v>
      </c>
      <c r="R152" s="176">
        <v>0.02365562766302282</v>
      </c>
      <c r="S152" s="188"/>
    </row>
    <row r="153" spans="1:19" ht="12.75">
      <c r="A153">
        <v>152</v>
      </c>
      <c r="B153" s="185" t="s">
        <v>234</v>
      </c>
      <c r="C153" s="186">
        <v>127.619</v>
      </c>
      <c r="D153" s="187">
        <v>145.587</v>
      </c>
      <c r="E153" s="187">
        <v>164.75799999999998</v>
      </c>
      <c r="F153" s="187">
        <v>185.28400000000002</v>
      </c>
      <c r="G153" s="187">
        <v>214.34699999999998</v>
      </c>
      <c r="H153" s="187">
        <v>246.41299999999998</v>
      </c>
      <c r="I153" s="187">
        <v>278.899</v>
      </c>
      <c r="J153" s="187">
        <v>310.19899999999996</v>
      </c>
      <c r="K153" s="187">
        <v>338.565</v>
      </c>
      <c r="L153" s="187">
        <v>361.98</v>
      </c>
      <c r="M153" s="187">
        <v>393.94</v>
      </c>
      <c r="N153" s="187">
        <f t="shared" si="4"/>
        <v>278.899</v>
      </c>
      <c r="O153" s="189">
        <f t="shared" si="5"/>
        <v>0.01575889094295735</v>
      </c>
      <c r="P153" s="189">
        <v>0.0341695</v>
      </c>
      <c r="Q153" s="189">
        <v>0.8357002651828411</v>
      </c>
      <c r="R153" s="176">
        <v>0.04119044423875319</v>
      </c>
      <c r="S153" s="188"/>
    </row>
    <row r="154" spans="1:19" ht="12.75">
      <c r="A154">
        <v>153</v>
      </c>
      <c r="B154" s="185" t="s">
        <v>235</v>
      </c>
      <c r="C154" s="186">
        <v>5928</v>
      </c>
      <c r="D154" s="187">
        <v>6141.999</v>
      </c>
      <c r="E154" s="187">
        <v>6275.472</v>
      </c>
      <c r="F154" s="187">
        <v>6385.4259999999995</v>
      </c>
      <c r="G154" s="187">
        <v>6183.976000000001</v>
      </c>
      <c r="H154" s="187">
        <v>6553.983</v>
      </c>
      <c r="I154" s="187">
        <v>7232.499</v>
      </c>
      <c r="J154" s="187">
        <v>7656.174999999999</v>
      </c>
      <c r="K154" s="187">
        <v>7919.726</v>
      </c>
      <c r="L154" s="187">
        <v>8152.37</v>
      </c>
      <c r="M154" s="187">
        <v>8343.813</v>
      </c>
      <c r="N154" s="187">
        <f t="shared" si="4"/>
        <v>7232.499</v>
      </c>
      <c r="O154" s="189">
        <f t="shared" si="5"/>
        <v>0.003985877195435306</v>
      </c>
      <c r="P154" s="189">
        <v>0.014914999999999998</v>
      </c>
      <c r="Q154" s="189">
        <v>0.67558</v>
      </c>
      <c r="R154" s="176">
        <v>0.02304138930993802</v>
      </c>
      <c r="S154" s="188"/>
    </row>
    <row r="155" spans="1:19" ht="12.75">
      <c r="A155">
        <v>154</v>
      </c>
      <c r="B155" s="185" t="s">
        <v>236</v>
      </c>
      <c r="C155" s="186">
        <v>1259.7</v>
      </c>
      <c r="D155" s="187">
        <v>1283.9989999999998</v>
      </c>
      <c r="E155" s="187">
        <v>1352.4</v>
      </c>
      <c r="F155" s="187">
        <v>1582.201</v>
      </c>
      <c r="G155" s="187">
        <v>1723.8</v>
      </c>
      <c r="H155" s="187">
        <v>1950.899</v>
      </c>
      <c r="I155" s="187">
        <v>2187.246</v>
      </c>
      <c r="J155" s="187">
        <v>2377.2560000000003</v>
      </c>
      <c r="K155" s="187">
        <v>2568.01</v>
      </c>
      <c r="L155" s="187">
        <v>2777.288</v>
      </c>
      <c r="M155" s="187">
        <v>2981.4579999999996</v>
      </c>
      <c r="N155" s="187">
        <f t="shared" si="4"/>
        <v>2187.246</v>
      </c>
      <c r="O155" s="189">
        <f t="shared" si="5"/>
        <v>0.011096506960586616</v>
      </c>
      <c r="P155" s="189">
        <v>0.0191595</v>
      </c>
      <c r="Q155" s="189">
        <v>0.750571607618451</v>
      </c>
      <c r="R155" s="176">
        <v>0.03248895098258761</v>
      </c>
      <c r="S155" s="188"/>
    </row>
    <row r="156" spans="1:19" ht="12.75">
      <c r="A156">
        <v>155</v>
      </c>
      <c r="B156" s="185" t="s">
        <v>51</v>
      </c>
      <c r="C156" s="186">
        <v>14.435</v>
      </c>
      <c r="D156" s="187">
        <v>20.975</v>
      </c>
      <c r="E156" s="187">
        <v>27.464000000000002</v>
      </c>
      <c r="F156" s="187">
        <v>44.836</v>
      </c>
      <c r="G156" s="187">
        <v>70.482</v>
      </c>
      <c r="H156" s="187">
        <v>114.03699999999999</v>
      </c>
      <c r="I156" s="187">
        <v>155.10399999999998</v>
      </c>
      <c r="J156" s="187">
        <v>258.3929999999999</v>
      </c>
      <c r="K156" s="187">
        <v>323.68100000000004</v>
      </c>
      <c r="L156" s="187">
        <v>375.22099999999995</v>
      </c>
      <c r="M156" s="187">
        <v>414.421</v>
      </c>
      <c r="N156" s="187">
        <f t="shared" si="4"/>
        <v>155.10399999999998</v>
      </c>
      <c r="O156" s="189">
        <f t="shared" si="5"/>
        <v>0.04863445732584171</v>
      </c>
      <c r="P156" s="189">
        <v>0.0388085</v>
      </c>
      <c r="Q156" s="189">
        <v>0.67558</v>
      </c>
      <c r="R156" s="176">
        <v>0.026474623340221513</v>
      </c>
      <c r="S156" s="188"/>
    </row>
    <row r="157" spans="1:19" ht="12.75">
      <c r="A157">
        <v>156</v>
      </c>
      <c r="B157" s="185" t="s">
        <v>237</v>
      </c>
      <c r="C157" s="186">
        <v>11876.7</v>
      </c>
      <c r="D157" s="187">
        <v>12989.3</v>
      </c>
      <c r="E157" s="187">
        <v>14515.9</v>
      </c>
      <c r="F157" s="187">
        <v>16193.4</v>
      </c>
      <c r="G157" s="187">
        <v>18492.002</v>
      </c>
      <c r="H157" s="187">
        <v>21962.8</v>
      </c>
      <c r="I157" s="187">
        <v>25163</v>
      </c>
      <c r="J157" s="187">
        <v>28576.798</v>
      </c>
      <c r="K157" s="187">
        <v>31792.032000000003</v>
      </c>
      <c r="L157" s="187">
        <v>34471.467</v>
      </c>
      <c r="M157" s="187">
        <v>37000.084</v>
      </c>
      <c r="N157" s="187">
        <f t="shared" si="4"/>
        <v>25163</v>
      </c>
      <c r="O157" s="189">
        <f t="shared" si="5"/>
        <v>0.015129228674756412</v>
      </c>
      <c r="P157" s="189">
        <v>0.032343000000000004</v>
      </c>
      <c r="Q157" s="189">
        <v>0.67558</v>
      </c>
      <c r="R157" s="176">
        <v>0.033026661733375616</v>
      </c>
      <c r="S157" s="188"/>
    </row>
    <row r="158" spans="1:19" ht="12.75">
      <c r="A158">
        <v>157</v>
      </c>
      <c r="B158" s="185" t="s">
        <v>238</v>
      </c>
      <c r="C158" s="186">
        <v>1683.5989999999997</v>
      </c>
      <c r="D158" s="187">
        <v>1880.229</v>
      </c>
      <c r="E158" s="187">
        <v>2048.7870000000003</v>
      </c>
      <c r="F158" s="187">
        <v>2191.9679999999994</v>
      </c>
      <c r="G158" s="187">
        <v>2440.25</v>
      </c>
      <c r="H158" s="187">
        <v>2730.622</v>
      </c>
      <c r="I158" s="187">
        <v>2938.1549999999997</v>
      </c>
      <c r="J158" s="187">
        <v>3067.9950000000003</v>
      </c>
      <c r="K158" s="187">
        <v>3145.71</v>
      </c>
      <c r="L158" s="187">
        <v>3184.5</v>
      </c>
      <c r="M158" s="187">
        <v>3302.356</v>
      </c>
      <c r="N158" s="187">
        <f t="shared" si="4"/>
        <v>2938.1549999999997</v>
      </c>
      <c r="O158" s="189">
        <f t="shared" si="5"/>
        <v>0.011199208207776756</v>
      </c>
      <c r="P158" s="189">
        <v>0.014599000000000003</v>
      </c>
      <c r="Q158" s="189">
        <v>0.6644041352295544</v>
      </c>
      <c r="R158" s="176">
        <v>0.025513421009957328</v>
      </c>
      <c r="S158" s="188"/>
    </row>
    <row r="159" spans="1:19" ht="12.75">
      <c r="A159">
        <v>158</v>
      </c>
      <c r="B159" s="185" t="s">
        <v>239</v>
      </c>
      <c r="C159" s="186">
        <v>149.68699999999998</v>
      </c>
      <c r="D159" s="187">
        <v>164.61199999999997</v>
      </c>
      <c r="E159" s="187">
        <v>184.26700000000005</v>
      </c>
      <c r="F159" s="187">
        <v>211.373</v>
      </c>
      <c r="G159" s="187">
        <v>250.004</v>
      </c>
      <c r="H159" s="187">
        <v>280.95700000000005</v>
      </c>
      <c r="I159" s="187">
        <v>318.2030000000001</v>
      </c>
      <c r="J159" s="187">
        <v>370.5160000000001</v>
      </c>
      <c r="K159" s="187">
        <v>417.25</v>
      </c>
      <c r="L159" s="187">
        <v>468.20300000000003</v>
      </c>
      <c r="M159" s="187">
        <v>518.8090000000001</v>
      </c>
      <c r="N159" s="187">
        <f t="shared" si="4"/>
        <v>318.2030000000001</v>
      </c>
      <c r="O159" s="189">
        <f t="shared" si="5"/>
        <v>0.015197182330167758</v>
      </c>
      <c r="P159" s="189">
        <v>0.044176499999999994</v>
      </c>
      <c r="Q159" s="189">
        <v>0.67558</v>
      </c>
      <c r="R159" s="176">
        <v>0.03569892026617673</v>
      </c>
      <c r="S159" s="188"/>
    </row>
    <row r="160" spans="1:19" ht="12.75">
      <c r="A160">
        <v>159</v>
      </c>
      <c r="B160" s="185" t="s">
        <v>61</v>
      </c>
      <c r="C160" s="186">
        <v>11677</v>
      </c>
      <c r="D160" s="187">
        <v>12681</v>
      </c>
      <c r="E160" s="187">
        <v>13219</v>
      </c>
      <c r="F160" s="187">
        <v>14017</v>
      </c>
      <c r="G160" s="187">
        <v>15000.657</v>
      </c>
      <c r="H160" s="187">
        <v>15884.301000000001</v>
      </c>
      <c r="I160" s="187">
        <v>16279.673999999997</v>
      </c>
      <c r="J160" s="187">
        <v>17122.198</v>
      </c>
      <c r="K160" s="187">
        <v>17738.043999999998</v>
      </c>
      <c r="L160" s="187">
        <v>18036.511000000002</v>
      </c>
      <c r="M160" s="187">
        <v>18342.708000000002</v>
      </c>
      <c r="N160" s="187">
        <f t="shared" si="4"/>
        <v>16279.673999999997</v>
      </c>
      <c r="O160" s="189">
        <f t="shared" si="5"/>
        <v>0.006668057977135655</v>
      </c>
      <c r="P160" s="189">
        <v>0.018335</v>
      </c>
      <c r="Q160" s="189">
        <v>0.67558</v>
      </c>
      <c r="R160" s="176">
        <v>0.02241477436971293</v>
      </c>
      <c r="S160" s="188"/>
    </row>
    <row r="161" spans="1:19" ht="12.75">
      <c r="A161">
        <v>160</v>
      </c>
      <c r="B161" s="185" t="s">
        <v>240</v>
      </c>
      <c r="C161" s="186">
        <v>73013.253</v>
      </c>
      <c r="D161" s="187">
        <v>81360.86800000002</v>
      </c>
      <c r="E161" s="187">
        <v>83983.52</v>
      </c>
      <c r="F161" s="187">
        <v>88845.88900000001</v>
      </c>
      <c r="G161" s="187">
        <v>95753.329</v>
      </c>
      <c r="H161" s="187">
        <v>102952.348</v>
      </c>
      <c r="I161" s="187">
        <v>108641.666</v>
      </c>
      <c r="J161" s="187">
        <v>110851.159</v>
      </c>
      <c r="K161" s="187">
        <v>114243.28299999998</v>
      </c>
      <c r="L161" s="187">
        <v>116700.94499999998</v>
      </c>
      <c r="M161" s="187">
        <v>119368.42199999999</v>
      </c>
      <c r="N161" s="187">
        <f t="shared" si="4"/>
        <v>108641.666</v>
      </c>
      <c r="O161" s="189">
        <f t="shared" si="5"/>
        <v>0.007979951959751652</v>
      </c>
      <c r="P161" s="189">
        <v>0.013739999999999999</v>
      </c>
      <c r="Q161" s="189">
        <v>0.7465957680114068</v>
      </c>
      <c r="R161" s="176">
        <v>0.022353999931584895</v>
      </c>
      <c r="S161" s="188"/>
    </row>
    <row r="162" spans="1:19" ht="12.75">
      <c r="A162">
        <v>161</v>
      </c>
      <c r="B162" s="185" t="s">
        <v>241</v>
      </c>
      <c r="C162" s="186">
        <v>1147.2</v>
      </c>
      <c r="D162" s="187">
        <v>1311.266</v>
      </c>
      <c r="E162" s="187">
        <v>1503.307</v>
      </c>
      <c r="F162" s="187">
        <v>1730.617</v>
      </c>
      <c r="G162" s="187">
        <v>1968.525</v>
      </c>
      <c r="H162" s="187">
        <v>2269.2860000000005</v>
      </c>
      <c r="I162" s="187">
        <v>2645.338</v>
      </c>
      <c r="J162" s="187">
        <v>3043.35</v>
      </c>
      <c r="K162" s="187">
        <v>3576.54</v>
      </c>
      <c r="L162" s="187">
        <v>2668.7769999999996</v>
      </c>
      <c r="M162" s="187">
        <v>4238.63</v>
      </c>
      <c r="N162" s="187">
        <f t="shared" si="4"/>
        <v>2645.338</v>
      </c>
      <c r="O162" s="189">
        <f t="shared" si="5"/>
        <v>0.016849877498363863</v>
      </c>
      <c r="P162" s="189">
        <v>0.022314</v>
      </c>
      <c r="Q162" s="189">
        <v>0.3686767167808459</v>
      </c>
      <c r="R162" s="176">
        <v>0.04355190706905911</v>
      </c>
      <c r="S162" s="188"/>
    </row>
    <row r="163" spans="1:19" ht="12.75">
      <c r="A163">
        <v>162</v>
      </c>
      <c r="B163" s="185" t="s">
        <v>242</v>
      </c>
      <c r="C163" s="186">
        <v>48.096000000000004</v>
      </c>
      <c r="D163" s="187">
        <v>49.346</v>
      </c>
      <c r="E163" s="187">
        <v>47.589</v>
      </c>
      <c r="F163" s="187">
        <v>48.513</v>
      </c>
      <c r="G163" s="187">
        <v>49.668000000000006</v>
      </c>
      <c r="H163" s="187">
        <v>56.00099999999998</v>
      </c>
      <c r="I163" s="187">
        <v>63.345</v>
      </c>
      <c r="J163" s="187">
        <v>71.66300000000001</v>
      </c>
      <c r="K163" s="187">
        <v>82.417</v>
      </c>
      <c r="L163" s="187">
        <v>91.17899999999999</v>
      </c>
      <c r="M163" s="187">
        <v>100.404</v>
      </c>
      <c r="N163" s="187">
        <f t="shared" si="4"/>
        <v>63.345</v>
      </c>
      <c r="O163" s="189">
        <f t="shared" si="5"/>
        <v>0.005523135854980321</v>
      </c>
      <c r="P163" s="189">
        <v>0.0182765</v>
      </c>
      <c r="Q163" s="189">
        <v>0.46143957554287224</v>
      </c>
      <c r="R163" s="176">
        <v>0.04004801711408055</v>
      </c>
      <c r="S163" s="188"/>
    </row>
    <row r="164" spans="1:19" ht="12.75">
      <c r="A164">
        <v>163</v>
      </c>
      <c r="B164" s="185" t="s">
        <v>243</v>
      </c>
      <c r="C164" s="186">
        <v>43.623</v>
      </c>
      <c r="D164" s="187">
        <v>48.911</v>
      </c>
      <c r="E164" s="187">
        <v>56.365</v>
      </c>
      <c r="F164" s="187">
        <v>63.794000000000004</v>
      </c>
      <c r="G164" s="187">
        <v>74.31799999999998</v>
      </c>
      <c r="H164" s="187">
        <v>82.3</v>
      </c>
      <c r="I164" s="187">
        <v>90.3</v>
      </c>
      <c r="J164" s="187">
        <v>93.865</v>
      </c>
      <c r="K164" s="187">
        <v>95.20100000000001</v>
      </c>
      <c r="L164" s="187">
        <v>92.90899999999999</v>
      </c>
      <c r="M164" s="187">
        <v>93.27299999999998</v>
      </c>
      <c r="N164" s="187">
        <f t="shared" si="4"/>
        <v>90.3</v>
      </c>
      <c r="O164" s="189">
        <f t="shared" si="5"/>
        <v>0.014657440540585043</v>
      </c>
      <c r="P164" s="189">
        <v>0.027604999999999998</v>
      </c>
      <c r="Q164" s="189">
        <v>0.69535184616141</v>
      </c>
      <c r="R164" s="176">
        <v>0.04515199973821594</v>
      </c>
      <c r="S164" s="188"/>
    </row>
    <row r="165" spans="1:19" ht="12.75">
      <c r="A165">
        <v>164</v>
      </c>
      <c r="B165" s="185" t="s">
        <v>244</v>
      </c>
      <c r="C165" s="186">
        <v>1856.4340000000002</v>
      </c>
      <c r="D165" s="187">
        <v>2062.162</v>
      </c>
      <c r="E165" s="187">
        <v>2310.527</v>
      </c>
      <c r="F165" s="187">
        <v>2683.7419999999997</v>
      </c>
      <c r="G165" s="187">
        <v>3188.5210000000006</v>
      </c>
      <c r="H165" s="187">
        <v>4039.9010000000003</v>
      </c>
      <c r="I165" s="187">
        <v>5347.064</v>
      </c>
      <c r="J165" s="187">
        <v>6947.571</v>
      </c>
      <c r="K165" s="187">
        <v>8781.628</v>
      </c>
      <c r="L165" s="187">
        <v>9455.778000000002</v>
      </c>
      <c r="M165" s="187">
        <v>11611.465</v>
      </c>
      <c r="N165" s="187">
        <f t="shared" si="4"/>
        <v>5347.064</v>
      </c>
      <c r="O165" s="189">
        <f t="shared" si="5"/>
        <v>0.021383216910180636</v>
      </c>
      <c r="P165" s="189">
        <v>0.02275</v>
      </c>
      <c r="Q165" s="189">
        <v>0.39965830420166004</v>
      </c>
      <c r="R165" s="176">
        <v>0.03798449566743621</v>
      </c>
      <c r="S165" s="188"/>
    </row>
    <row r="166" spans="1:19" ht="12.75">
      <c r="A166">
        <v>165</v>
      </c>
      <c r="B166" s="185" t="s">
        <v>245</v>
      </c>
      <c r="C166" s="186">
        <v>1460.0569999999998</v>
      </c>
      <c r="D166" s="187">
        <v>1618.985</v>
      </c>
      <c r="E166" s="187">
        <v>1801.136</v>
      </c>
      <c r="F166" s="187">
        <v>2016.495</v>
      </c>
      <c r="G166" s="187">
        <v>2303.8089999999997</v>
      </c>
      <c r="H166" s="187">
        <v>2651.5969999999998</v>
      </c>
      <c r="I166" s="187">
        <v>3027.3160000000003</v>
      </c>
      <c r="J166" s="187">
        <v>3466.953</v>
      </c>
      <c r="K166" s="187">
        <v>3996.4890000000005</v>
      </c>
      <c r="L166" s="187">
        <v>4557.457999999999</v>
      </c>
      <c r="M166" s="187">
        <v>5244.703</v>
      </c>
      <c r="N166" s="187">
        <f t="shared" si="4"/>
        <v>3027.3160000000003</v>
      </c>
      <c r="O166" s="189">
        <f t="shared" si="5"/>
        <v>0.014690884527757575</v>
      </c>
      <c r="P166" s="189">
        <v>0.044996499999999995</v>
      </c>
      <c r="Q166" s="189">
        <v>0.7313102639651966</v>
      </c>
      <c r="R166" s="176">
        <v>0.03983597875261505</v>
      </c>
      <c r="S166" s="188"/>
    </row>
    <row r="167" spans="1:19" ht="12.75">
      <c r="A167">
        <v>166</v>
      </c>
      <c r="B167" s="185" t="s">
        <v>246</v>
      </c>
      <c r="C167" s="186">
        <v>1177.9</v>
      </c>
      <c r="D167" s="187">
        <v>1252.3489999999997</v>
      </c>
      <c r="E167" s="187">
        <v>1335.0480000000002</v>
      </c>
      <c r="F167" s="187">
        <v>1428.765</v>
      </c>
      <c r="G167" s="187">
        <v>1545.3519999999999</v>
      </c>
      <c r="H167" s="187">
        <v>1684.6610000000003</v>
      </c>
      <c r="I167" s="187">
        <v>1843.565</v>
      </c>
      <c r="J167" s="187">
        <v>2030.7859999999996</v>
      </c>
      <c r="K167" s="187">
        <v>2290.932</v>
      </c>
      <c r="L167" s="187">
        <v>2299.533</v>
      </c>
      <c r="M167" s="187">
        <v>2456.032</v>
      </c>
      <c r="N167" s="187">
        <f t="shared" si="4"/>
        <v>1843.565</v>
      </c>
      <c r="O167" s="189">
        <f t="shared" si="5"/>
        <v>0.008999615299298158</v>
      </c>
      <c r="P167" s="189">
        <v>0.042863</v>
      </c>
      <c r="Q167" s="189">
        <v>0.9358980282883266</v>
      </c>
      <c r="R167" s="176">
        <v>0.03693717743792905</v>
      </c>
      <c r="S167" s="188"/>
    </row>
    <row r="168" spans="1:19" ht="12.75">
      <c r="A168">
        <v>167</v>
      </c>
      <c r="B168" s="185" t="s">
        <v>17</v>
      </c>
      <c r="C168" s="186">
        <v>608.5</v>
      </c>
      <c r="D168" s="187">
        <v>765.5030000000002</v>
      </c>
      <c r="E168" s="187">
        <v>927.5980000000002</v>
      </c>
      <c r="F168" s="187">
        <v>1059.396</v>
      </c>
      <c r="G168" s="187">
        <v>1269.8990000000001</v>
      </c>
      <c r="H168" s="187">
        <v>1519.7</v>
      </c>
      <c r="I168" s="187">
        <v>1761.237</v>
      </c>
      <c r="J168" s="187">
        <v>2050.495</v>
      </c>
      <c r="K168" s="187">
        <v>2369.004</v>
      </c>
      <c r="L168" s="187">
        <v>2702.389</v>
      </c>
      <c r="M168" s="187">
        <v>3139.81</v>
      </c>
      <c r="N168" s="187">
        <f t="shared" si="4"/>
        <v>1761.237</v>
      </c>
      <c r="O168" s="189">
        <f t="shared" si="5"/>
        <v>0.021483002501132775</v>
      </c>
      <c r="P168" s="189">
        <v>0.032674999999999996</v>
      </c>
      <c r="Q168" s="189">
        <v>0.67558</v>
      </c>
      <c r="R168" s="176">
        <v>0.030184587557354522</v>
      </c>
      <c r="S168" s="188"/>
    </row>
    <row r="169" spans="1:19" ht="12.75">
      <c r="A169">
        <v>168</v>
      </c>
      <c r="B169" s="185" t="s">
        <v>62</v>
      </c>
      <c r="C169" s="186">
        <v>2461.398</v>
      </c>
      <c r="D169" s="187">
        <v>2609.3</v>
      </c>
      <c r="E169" s="187">
        <v>2796</v>
      </c>
      <c r="F169" s="187">
        <v>2981.6989999999996</v>
      </c>
      <c r="G169" s="187">
        <v>3297.352999999999</v>
      </c>
      <c r="H169" s="187">
        <v>3496.1989999999996</v>
      </c>
      <c r="I169" s="187">
        <v>3676.301</v>
      </c>
      <c r="J169" s="187">
        <v>3768.499</v>
      </c>
      <c r="K169" s="187">
        <v>3928.6469999999995</v>
      </c>
      <c r="L169" s="187">
        <v>4152.879</v>
      </c>
      <c r="M169" s="187">
        <v>4344.675</v>
      </c>
      <c r="N169" s="187">
        <f t="shared" si="4"/>
        <v>3676.301</v>
      </c>
      <c r="O169" s="189">
        <f t="shared" si="5"/>
        <v>0.008055827004161076</v>
      </c>
      <c r="P169" s="189">
        <v>0.01331</v>
      </c>
      <c r="Q169" s="189">
        <v>0.7217365499730255</v>
      </c>
      <c r="R169" s="176">
        <v>0.02381703317438183</v>
      </c>
      <c r="S169" s="188"/>
    </row>
    <row r="170" spans="1:19" ht="12.75">
      <c r="A170">
        <v>169</v>
      </c>
      <c r="B170" s="185" t="s">
        <v>64</v>
      </c>
      <c r="C170" s="186">
        <v>1067.999</v>
      </c>
      <c r="D170" s="187">
        <v>1109.498</v>
      </c>
      <c r="E170" s="187">
        <v>1147.7240000000004</v>
      </c>
      <c r="F170" s="187">
        <v>1206.199</v>
      </c>
      <c r="G170" s="187">
        <v>1266.7389999999998</v>
      </c>
      <c r="H170" s="187">
        <v>1329.0009999999997</v>
      </c>
      <c r="I170" s="187">
        <v>1403.8519999999999</v>
      </c>
      <c r="J170" s="187">
        <v>1455.8989999999997</v>
      </c>
      <c r="K170" s="187">
        <v>1551.978</v>
      </c>
      <c r="L170" s="187">
        <v>1625.4989999999998</v>
      </c>
      <c r="M170" s="187">
        <v>1672.161</v>
      </c>
      <c r="N170" s="187">
        <f t="shared" si="4"/>
        <v>1403.8519999999999</v>
      </c>
      <c r="O170" s="189">
        <f t="shared" si="5"/>
        <v>0.00548364208000085</v>
      </c>
      <c r="P170" s="189">
        <v>0.011879999999999998</v>
      </c>
      <c r="Q170" s="189">
        <v>0.7513721948265911</v>
      </c>
      <c r="R170" s="176">
        <v>0.02084506247604709</v>
      </c>
      <c r="S170" s="188"/>
    </row>
    <row r="171" spans="1:19" ht="12.75">
      <c r="A171">
        <v>170</v>
      </c>
      <c r="B171" s="185" t="s">
        <v>247</v>
      </c>
      <c r="C171" s="186">
        <v>51.6</v>
      </c>
      <c r="D171" s="187">
        <v>58.7</v>
      </c>
      <c r="E171" s="187">
        <v>67.69800000000001</v>
      </c>
      <c r="F171" s="187">
        <v>76.20100000000004</v>
      </c>
      <c r="G171" s="187">
        <v>88.405</v>
      </c>
      <c r="H171" s="187">
        <v>100.306</v>
      </c>
      <c r="I171" s="187">
        <v>119.81</v>
      </c>
      <c r="J171" s="187">
        <v>142.965</v>
      </c>
      <c r="K171" s="187">
        <v>172.54600000000005</v>
      </c>
      <c r="L171" s="187">
        <v>206.83600000000004</v>
      </c>
      <c r="M171" s="187">
        <v>247.11700000000002</v>
      </c>
      <c r="N171" s="187">
        <f t="shared" si="4"/>
        <v>119.81</v>
      </c>
      <c r="O171" s="189">
        <f t="shared" si="5"/>
        <v>0.016990432695671576</v>
      </c>
      <c r="P171" s="189">
        <v>0.038164500000000004</v>
      </c>
      <c r="Q171" s="189">
        <v>0.5273282095891609</v>
      </c>
      <c r="R171" s="176">
        <v>0.04160308506731398</v>
      </c>
      <c r="S171" s="188"/>
    </row>
    <row r="172" spans="1:19" ht="12.75">
      <c r="A172">
        <v>171</v>
      </c>
      <c r="B172" s="185" t="s">
        <v>248</v>
      </c>
      <c r="C172" s="186">
        <v>1330.242</v>
      </c>
      <c r="D172" s="187">
        <v>1447.971</v>
      </c>
      <c r="E172" s="187">
        <v>1573.59</v>
      </c>
      <c r="F172" s="187">
        <v>1735.2010000000002</v>
      </c>
      <c r="G172" s="187">
        <v>1962.1469999999997</v>
      </c>
      <c r="H172" s="187">
        <v>2230.4039999999995</v>
      </c>
      <c r="I172" s="187">
        <v>3454.431</v>
      </c>
      <c r="J172" s="187">
        <v>3491.3120000000004</v>
      </c>
      <c r="K172" s="187">
        <v>3736.242</v>
      </c>
      <c r="L172" s="187">
        <v>3853.3670000000006</v>
      </c>
      <c r="M172" s="187">
        <v>4568.710999999999</v>
      </c>
      <c r="N172" s="187">
        <f t="shared" si="4"/>
        <v>3454.431</v>
      </c>
      <c r="O172" s="189">
        <f t="shared" si="5"/>
        <v>0.019269238288227353</v>
      </c>
      <c r="P172" s="189">
        <v>0.0443555</v>
      </c>
      <c r="Q172" s="189">
        <v>0.8210471525742109</v>
      </c>
      <c r="R172" s="176">
        <v>0.04071726096588022</v>
      </c>
      <c r="S172" s="188"/>
    </row>
    <row r="173" spans="1:19" ht="12.75">
      <c r="A173">
        <v>172</v>
      </c>
      <c r="B173" s="185" t="s">
        <v>249</v>
      </c>
      <c r="C173" s="186">
        <v>8403.603999999998</v>
      </c>
      <c r="D173" s="187">
        <v>9251.796</v>
      </c>
      <c r="E173" s="187">
        <v>10272.938</v>
      </c>
      <c r="F173" s="187">
        <v>11547.275</v>
      </c>
      <c r="G173" s="187">
        <v>12983.905999999999</v>
      </c>
      <c r="H173" s="187">
        <v>14783.218</v>
      </c>
      <c r="I173" s="187">
        <v>16922.875000000004</v>
      </c>
      <c r="J173" s="187">
        <v>19607.070999999996</v>
      </c>
      <c r="K173" s="187">
        <v>22436.777000000002</v>
      </c>
      <c r="L173" s="187">
        <v>25628.769</v>
      </c>
      <c r="M173" s="187">
        <v>28575.311999999998</v>
      </c>
      <c r="N173" s="187">
        <f t="shared" si="4"/>
        <v>16922.875000000004</v>
      </c>
      <c r="O173" s="189">
        <f t="shared" si="5"/>
        <v>0.014098572427225786</v>
      </c>
      <c r="P173" s="189">
        <v>0.0410505</v>
      </c>
      <c r="Q173" s="189">
        <v>0.8515260927931484</v>
      </c>
      <c r="R173" s="176">
        <v>0.03664993624888848</v>
      </c>
      <c r="S173" s="188"/>
    </row>
    <row r="174" spans="1:19" ht="12.75">
      <c r="A174">
        <v>173</v>
      </c>
      <c r="B174" s="185" t="s">
        <v>250</v>
      </c>
      <c r="C174" s="186">
        <v>68416.152</v>
      </c>
      <c r="D174" s="187">
        <v>77307.29299999999</v>
      </c>
      <c r="E174" s="187">
        <v>86713.105</v>
      </c>
      <c r="F174" s="187">
        <v>98491.55699999999</v>
      </c>
      <c r="G174" s="187">
        <v>113110.667</v>
      </c>
      <c r="H174" s="187">
        <v>130468.22700000001</v>
      </c>
      <c r="I174" s="187">
        <v>150383.11099999998</v>
      </c>
      <c r="J174" s="187">
        <v>170495.154</v>
      </c>
      <c r="K174" s="187">
        <v>191745.87900000002</v>
      </c>
      <c r="L174" s="187">
        <v>215639.51900000003</v>
      </c>
      <c r="M174" s="187">
        <v>240472.068</v>
      </c>
      <c r="N174" s="187">
        <f t="shared" si="4"/>
        <v>150383.11099999998</v>
      </c>
      <c r="O174" s="189">
        <f t="shared" si="5"/>
        <v>0.015876252974152738</v>
      </c>
      <c r="P174" s="189">
        <v>0.026164</v>
      </c>
      <c r="Q174" s="189">
        <v>0.6860805159907005</v>
      </c>
      <c r="R174" s="176">
        <v>0.034675760292272276</v>
      </c>
      <c r="S174" s="188"/>
    </row>
    <row r="175" spans="1:19" ht="12.75">
      <c r="A175">
        <v>174</v>
      </c>
      <c r="B175" s="185" t="s">
        <v>251</v>
      </c>
      <c r="C175" s="186">
        <v>306022.414</v>
      </c>
      <c r="D175" s="187">
        <v>336520.0680000001</v>
      </c>
      <c r="E175" s="187">
        <v>370629.635</v>
      </c>
      <c r="F175" s="187">
        <v>409883.772</v>
      </c>
      <c r="G175" s="187">
        <v>460204.4440000001</v>
      </c>
      <c r="H175" s="187">
        <v>521796.4010000001</v>
      </c>
      <c r="I175" s="187">
        <v>593203.593</v>
      </c>
      <c r="J175" s="187">
        <v>672369.45</v>
      </c>
      <c r="K175" s="187">
        <v>760183.479</v>
      </c>
      <c r="L175" s="187">
        <v>851083.913</v>
      </c>
      <c r="M175" s="187">
        <v>960284.0109999999</v>
      </c>
      <c r="N175" s="187">
        <f t="shared" si="4"/>
        <v>593203.593</v>
      </c>
      <c r="O175" s="189">
        <f t="shared" si="5"/>
        <v>0.013325591133219294</v>
      </c>
      <c r="P175" s="189">
        <v>0.016424499999999998</v>
      </c>
      <c r="Q175" s="189">
        <v>0.40062136944209714</v>
      </c>
      <c r="R175" s="176">
        <v>0.03501059221577025</v>
      </c>
      <c r="S175" s="188"/>
    </row>
    <row r="176" spans="1:19" ht="12.75">
      <c r="A176">
        <v>175</v>
      </c>
      <c r="B176" s="185" t="s">
        <v>252</v>
      </c>
      <c r="C176" s="186">
        <v>108829.303</v>
      </c>
      <c r="D176" s="187">
        <v>119003.242</v>
      </c>
      <c r="E176" s="187">
        <v>130335.89199999999</v>
      </c>
      <c r="F176" s="187">
        <v>143674.20300000004</v>
      </c>
      <c r="G176" s="187">
        <v>162516.28</v>
      </c>
      <c r="H176" s="187">
        <v>186014.17199999996</v>
      </c>
      <c r="I176" s="187">
        <v>212215.27899999998</v>
      </c>
      <c r="J176" s="187">
        <v>243534.78499999997</v>
      </c>
      <c r="K176" s="187">
        <v>278011.66500000004</v>
      </c>
      <c r="L176" s="187">
        <v>314635.06</v>
      </c>
      <c r="M176" s="187">
        <v>352994.947</v>
      </c>
      <c r="N176" s="187">
        <f t="shared" si="4"/>
        <v>212215.27899999998</v>
      </c>
      <c r="O176" s="189">
        <f t="shared" si="5"/>
        <v>0.013446007301065377</v>
      </c>
      <c r="P176" s="189">
        <v>0.033466499999999996</v>
      </c>
      <c r="Q176" s="189">
        <v>0.8017483400821691</v>
      </c>
      <c r="R176" s="176">
        <v>0.03614650906256148</v>
      </c>
      <c r="S176" s="188"/>
    </row>
    <row r="177" spans="1:19" ht="12.75">
      <c r="A177">
        <v>176</v>
      </c>
      <c r="B177" s="185" t="s">
        <v>253</v>
      </c>
      <c r="C177" s="186">
        <v>9500.422000000002</v>
      </c>
      <c r="D177" s="187">
        <v>10461.151000000002</v>
      </c>
      <c r="E177" s="187">
        <v>11602.068</v>
      </c>
      <c r="F177" s="187">
        <v>13026.580999999998</v>
      </c>
      <c r="G177" s="187">
        <v>14627.584999999997</v>
      </c>
      <c r="H177" s="187">
        <v>16648.304999999997</v>
      </c>
      <c r="I177" s="187">
        <v>19027.183</v>
      </c>
      <c r="J177" s="187">
        <v>22008.902999999995</v>
      </c>
      <c r="K177" s="187">
        <v>25305.075</v>
      </c>
      <c r="L177" s="187">
        <v>28919.304000000004</v>
      </c>
      <c r="M177" s="187">
        <v>32232.086</v>
      </c>
      <c r="N177" s="187">
        <f t="shared" si="4"/>
        <v>19027.183</v>
      </c>
      <c r="O177" s="189">
        <f t="shared" si="5"/>
        <v>0.013987571758055095</v>
      </c>
      <c r="P177" s="189">
        <v>0.0356905</v>
      </c>
      <c r="Q177" s="189">
        <v>0.7984802621956016</v>
      </c>
      <c r="R177" s="176">
        <v>0.036990218340206625</v>
      </c>
      <c r="S177" s="188"/>
    </row>
    <row r="178" spans="1:19" ht="12.75">
      <c r="A178">
        <v>177</v>
      </c>
      <c r="B178" s="185" t="s">
        <v>254</v>
      </c>
      <c r="C178" s="186">
        <v>78859.73199999999</v>
      </c>
      <c r="D178" s="187">
        <v>82944.162</v>
      </c>
      <c r="E178" s="187">
        <v>86017.908</v>
      </c>
      <c r="F178" s="187">
        <v>90160.62</v>
      </c>
      <c r="G178" s="187">
        <v>93593.89399999999</v>
      </c>
      <c r="H178" s="187">
        <v>98212.012</v>
      </c>
      <c r="I178" s="187">
        <v>104344.172</v>
      </c>
      <c r="J178" s="187">
        <v>109738.45700000001</v>
      </c>
      <c r="K178" s="187">
        <v>115713.81300000001</v>
      </c>
      <c r="L178" s="187">
        <v>119028.58099999999</v>
      </c>
      <c r="M178" s="187">
        <v>122053.77900000001</v>
      </c>
      <c r="N178" s="187">
        <f t="shared" si="4"/>
        <v>104344.172</v>
      </c>
      <c r="O178" s="189">
        <f t="shared" si="5"/>
        <v>0.005616193040676842</v>
      </c>
      <c r="P178" s="189">
        <v>0.01347</v>
      </c>
      <c r="Q178" s="189">
        <v>0.8713334567796378</v>
      </c>
      <c r="R178" s="176">
        <v>0.021033780191124538</v>
      </c>
      <c r="S178" s="188"/>
    </row>
    <row r="179" spans="1:19" ht="12.75">
      <c r="A179">
        <v>178</v>
      </c>
      <c r="B179" s="185" t="s">
        <v>255</v>
      </c>
      <c r="C179" s="186">
        <v>20421.625</v>
      </c>
      <c r="D179" s="187">
        <v>21261.046000000002</v>
      </c>
      <c r="E179" s="187">
        <v>22101.42</v>
      </c>
      <c r="F179" s="187">
        <v>23291.997</v>
      </c>
      <c r="G179" s="187">
        <v>24340.094999999998</v>
      </c>
      <c r="H179" s="187">
        <v>25767.498999999996</v>
      </c>
      <c r="I179" s="187">
        <v>27565.563</v>
      </c>
      <c r="J179" s="187">
        <v>29593.523</v>
      </c>
      <c r="K179" s="187">
        <v>31687.042000000005</v>
      </c>
      <c r="L179" s="187">
        <v>33130.86</v>
      </c>
      <c r="M179" s="187">
        <v>34036.115</v>
      </c>
      <c r="N179" s="187">
        <f t="shared" si="4"/>
        <v>27565.563</v>
      </c>
      <c r="O179" s="189">
        <f t="shared" si="5"/>
        <v>0.0060174905483734165</v>
      </c>
      <c r="P179" s="189">
        <v>0.011170500000000002</v>
      </c>
      <c r="Q179" s="189">
        <v>0.8551971954668875</v>
      </c>
      <c r="R179" s="176">
        <v>0.021630718948842772</v>
      </c>
      <c r="S179" s="188"/>
    </row>
    <row r="180" spans="1:19" ht="12.75">
      <c r="A180">
        <v>179</v>
      </c>
      <c r="B180" s="185" t="s">
        <v>18</v>
      </c>
      <c r="C180" s="186">
        <v>4482.942</v>
      </c>
      <c r="D180" s="187">
        <v>4966.968000000001</v>
      </c>
      <c r="E180" s="187">
        <v>5600.82</v>
      </c>
      <c r="F180" s="187">
        <v>6409.185000000001</v>
      </c>
      <c r="G180" s="187">
        <v>7384.198000000001</v>
      </c>
      <c r="H180" s="187">
        <v>8519.637</v>
      </c>
      <c r="I180" s="187">
        <v>9499.654999999999</v>
      </c>
      <c r="J180" s="187">
        <v>10384.22</v>
      </c>
      <c r="K180" s="187">
        <v>11547.146999999997</v>
      </c>
      <c r="L180" s="187">
        <v>12691.895999999999</v>
      </c>
      <c r="M180" s="187">
        <v>13947.444999999998</v>
      </c>
      <c r="N180" s="187">
        <f t="shared" si="4"/>
        <v>9499.654999999999</v>
      </c>
      <c r="O180" s="189">
        <f t="shared" si="5"/>
        <v>0.015132878899123181</v>
      </c>
      <c r="P180" s="189">
        <v>0.041419</v>
      </c>
      <c r="Q180" s="189">
        <v>0.67558</v>
      </c>
      <c r="R180" s="176">
        <v>0.0338990051164975</v>
      </c>
      <c r="S180" s="188"/>
    </row>
    <row r="181" spans="1:19" ht="12.75">
      <c r="A181">
        <v>180</v>
      </c>
      <c r="B181" s="185" t="s">
        <v>256</v>
      </c>
      <c r="C181" s="186">
        <v>102098.136</v>
      </c>
      <c r="D181" s="187">
        <v>112367.133</v>
      </c>
      <c r="E181" s="187">
        <v>124616.40899999999</v>
      </c>
      <c r="F181" s="187">
        <v>139244.656</v>
      </c>
      <c r="G181" s="187">
        <v>157145.56</v>
      </c>
      <c r="H181" s="187">
        <v>178152.042</v>
      </c>
      <c r="I181" s="187">
        <v>204684.59799999997</v>
      </c>
      <c r="J181" s="187">
        <v>236113.82700000002</v>
      </c>
      <c r="K181" s="187">
        <v>273451.271</v>
      </c>
      <c r="L181" s="187">
        <v>315634.221</v>
      </c>
      <c r="M181" s="187">
        <v>361989.8840000001</v>
      </c>
      <c r="N181" s="187">
        <f t="shared" si="4"/>
        <v>204684.59799999997</v>
      </c>
      <c r="O181" s="189">
        <f t="shared" si="5"/>
        <v>0.014007919800393287</v>
      </c>
      <c r="P181" s="189">
        <v>0.027160499999999997</v>
      </c>
      <c r="Q181" s="189">
        <v>0.44514864115432</v>
      </c>
      <c r="R181" s="176">
        <v>0.04028671496985913</v>
      </c>
      <c r="S181" s="188"/>
    </row>
    <row r="182" spans="1:19" ht="12.75">
      <c r="A182">
        <v>181</v>
      </c>
      <c r="B182" s="185" t="s">
        <v>257</v>
      </c>
      <c r="C182" s="186">
        <v>5165.3949999999995</v>
      </c>
      <c r="D182" s="187">
        <v>5746.268</v>
      </c>
      <c r="E182" s="187">
        <v>6438.417</v>
      </c>
      <c r="F182" s="187">
        <v>7220.453999999999</v>
      </c>
      <c r="G182" s="187">
        <v>8041.817999999999</v>
      </c>
      <c r="H182" s="187">
        <v>9227.559000000003</v>
      </c>
      <c r="I182" s="187">
        <v>10760.656</v>
      </c>
      <c r="J182" s="187">
        <v>12674.396</v>
      </c>
      <c r="K182" s="187">
        <v>14368.796999999999</v>
      </c>
      <c r="L182" s="187">
        <v>16456.231</v>
      </c>
      <c r="M182" s="187">
        <v>18620.689</v>
      </c>
      <c r="N182" s="187">
        <f t="shared" si="4"/>
        <v>10760.656</v>
      </c>
      <c r="O182" s="189">
        <f t="shared" si="5"/>
        <v>0.014786554117722561</v>
      </c>
      <c r="P182" s="189">
        <v>0.029493499999999995</v>
      </c>
      <c r="Q182" s="189">
        <v>0.639432093216949</v>
      </c>
      <c r="R182" s="176">
        <v>0.039321018845169566</v>
      </c>
      <c r="S182" s="188"/>
    </row>
    <row r="183" spans="1:19" ht="12.75">
      <c r="A183">
        <v>182</v>
      </c>
      <c r="B183" s="185" t="s">
        <v>45</v>
      </c>
      <c r="C183" s="186">
        <v>129</v>
      </c>
      <c r="D183" s="187">
        <v>142</v>
      </c>
      <c r="E183" s="187">
        <v>152</v>
      </c>
      <c r="F183" s="187">
        <v>171.99900000000002</v>
      </c>
      <c r="G183" s="187">
        <v>192.29899999999998</v>
      </c>
      <c r="H183" s="187">
        <v>190.82</v>
      </c>
      <c r="I183" s="187">
        <v>209.613</v>
      </c>
      <c r="J183" s="187">
        <v>235.87200000000004</v>
      </c>
      <c r="K183" s="187">
        <v>257.08799999999997</v>
      </c>
      <c r="L183" s="187">
        <v>268.53099999999995</v>
      </c>
      <c r="M183" s="187">
        <v>290.035</v>
      </c>
      <c r="N183" s="187">
        <f t="shared" si="4"/>
        <v>209.613</v>
      </c>
      <c r="O183" s="189">
        <f t="shared" si="5"/>
        <v>0.009756296739719339</v>
      </c>
      <c r="P183" s="189">
        <v>0.030211500000000002</v>
      </c>
      <c r="Q183" s="189">
        <v>0.8026668662160039</v>
      </c>
      <c r="R183" s="176">
        <v>0.03987812665720826</v>
      </c>
      <c r="S183" s="188"/>
    </row>
    <row r="184" spans="1:19" ht="12.75">
      <c r="A184">
        <v>183</v>
      </c>
      <c r="B184" s="185" t="s">
        <v>258</v>
      </c>
      <c r="C184" s="186">
        <v>150.324</v>
      </c>
      <c r="D184" s="187">
        <v>164.715</v>
      </c>
      <c r="E184" s="187">
        <v>182.20099999999996</v>
      </c>
      <c r="F184" s="187">
        <v>204.312</v>
      </c>
      <c r="G184" s="187">
        <v>229.565</v>
      </c>
      <c r="H184" s="187">
        <v>261.519</v>
      </c>
      <c r="I184" s="187">
        <v>302.898</v>
      </c>
      <c r="J184" s="187">
        <v>353.716</v>
      </c>
      <c r="K184" s="187">
        <v>429.706</v>
      </c>
      <c r="L184" s="187">
        <v>479.3280000000001</v>
      </c>
      <c r="M184" s="187">
        <v>540.237</v>
      </c>
      <c r="N184" s="187">
        <f t="shared" si="4"/>
        <v>302.898</v>
      </c>
      <c r="O184" s="189">
        <f t="shared" si="5"/>
        <v>0.014110692092576205</v>
      </c>
      <c r="P184" s="189">
        <v>0.029383499999999996</v>
      </c>
      <c r="Q184" s="189">
        <v>0.5261657127272056</v>
      </c>
      <c r="R184" s="176">
        <v>0.04029069844149829</v>
      </c>
      <c r="S184" s="188"/>
    </row>
    <row r="185" spans="1:19" ht="12.75">
      <c r="A185">
        <v>184</v>
      </c>
      <c r="B185" s="185" t="s">
        <v>259</v>
      </c>
      <c r="C185" s="186">
        <v>5370.001</v>
      </c>
      <c r="D185" s="187">
        <v>5536.998</v>
      </c>
      <c r="E185" s="187">
        <v>5834.001</v>
      </c>
      <c r="F185" s="187">
        <v>6114.001</v>
      </c>
      <c r="G185" s="187">
        <v>6366.393999999999</v>
      </c>
      <c r="H185" s="187">
        <v>6497.298000000002</v>
      </c>
      <c r="I185" s="187">
        <v>6682.124999999998</v>
      </c>
      <c r="J185" s="187">
        <v>6885.862999999999</v>
      </c>
      <c r="K185" s="187">
        <v>7023.809</v>
      </c>
      <c r="L185" s="187">
        <v>7162.933999999999</v>
      </c>
      <c r="M185" s="187">
        <v>7233.526999999999</v>
      </c>
      <c r="N185" s="187">
        <f t="shared" si="4"/>
        <v>6682.124999999998</v>
      </c>
      <c r="O185" s="189">
        <f t="shared" si="5"/>
        <v>0.004381730952319973</v>
      </c>
      <c r="P185" s="189">
        <v>0.013664999999999998</v>
      </c>
      <c r="Q185" s="189">
        <v>0.82083644326779</v>
      </c>
      <c r="R185" s="176">
        <v>0.016928716756082898</v>
      </c>
      <c r="S185" s="188"/>
    </row>
    <row r="186" spans="1:19" ht="12.75">
      <c r="A186">
        <v>185</v>
      </c>
      <c r="B186" s="185" t="s">
        <v>260</v>
      </c>
      <c r="C186" s="186">
        <v>3589</v>
      </c>
      <c r="D186" s="187">
        <v>3771.999</v>
      </c>
      <c r="E186" s="187">
        <v>4094.999</v>
      </c>
      <c r="F186" s="187">
        <v>4443.999</v>
      </c>
      <c r="G186" s="187">
        <v>4716.12</v>
      </c>
      <c r="H186" s="187">
        <v>4916.65</v>
      </c>
      <c r="I186" s="187">
        <v>5072.1</v>
      </c>
      <c r="J186" s="187">
        <v>5393.132</v>
      </c>
      <c r="K186" s="187">
        <v>5680.179000000001</v>
      </c>
      <c r="L186" s="187">
        <v>5899.101</v>
      </c>
      <c r="M186" s="187">
        <v>5976.1990000000005</v>
      </c>
      <c r="N186" s="187">
        <f t="shared" si="4"/>
        <v>5072.1</v>
      </c>
      <c r="O186" s="189">
        <f t="shared" si="5"/>
        <v>0.006941608462609938</v>
      </c>
      <c r="P186" s="189">
        <v>0.012800000000000002</v>
      </c>
      <c r="Q186" s="189">
        <v>0.8346075230702352</v>
      </c>
      <c r="R186" s="176">
        <v>0.017655473824707394</v>
      </c>
      <c r="S186" s="188"/>
    </row>
    <row r="187" spans="1:19" ht="12.75">
      <c r="A187">
        <v>186</v>
      </c>
      <c r="B187" s="185" t="s">
        <v>261</v>
      </c>
      <c r="C187" s="186">
        <v>2046.61</v>
      </c>
      <c r="D187" s="187">
        <v>2268.11</v>
      </c>
      <c r="E187" s="187">
        <v>2536</v>
      </c>
      <c r="F187" s="187">
        <v>2723.001</v>
      </c>
      <c r="G187" s="187">
        <v>3199.999</v>
      </c>
      <c r="H187" s="187">
        <v>3830</v>
      </c>
      <c r="I187" s="187">
        <v>4481.472</v>
      </c>
      <c r="J187" s="187">
        <v>5379.116</v>
      </c>
      <c r="K187" s="187">
        <v>6463.211999999999</v>
      </c>
      <c r="L187" s="187">
        <v>7841.539000000002</v>
      </c>
      <c r="M187" s="187">
        <v>9576.972</v>
      </c>
      <c r="N187" s="187">
        <f t="shared" si="4"/>
        <v>4481.472</v>
      </c>
      <c r="O187" s="189">
        <f t="shared" si="5"/>
        <v>0.01579883851109498</v>
      </c>
      <c r="P187" s="189">
        <v>0.0374815</v>
      </c>
      <c r="Q187" s="189">
        <v>0.5167120625214895</v>
      </c>
      <c r="R187" s="176">
        <v>0.04364851361544389</v>
      </c>
      <c r="S187" s="188"/>
    </row>
    <row r="188" spans="1:19" ht="12.75">
      <c r="A188">
        <v>187</v>
      </c>
      <c r="B188" s="185" t="s">
        <v>262</v>
      </c>
      <c r="C188" s="186">
        <v>1013.7589999999999</v>
      </c>
      <c r="D188" s="187">
        <v>1182.9129999999998</v>
      </c>
      <c r="E188" s="187">
        <v>1257.9129999999998</v>
      </c>
      <c r="F188" s="187">
        <v>1365.572</v>
      </c>
      <c r="G188" s="187">
        <v>1570.11</v>
      </c>
      <c r="H188" s="187">
        <v>1879.06</v>
      </c>
      <c r="I188" s="187">
        <v>2257.1259999999997</v>
      </c>
      <c r="J188" s="187">
        <v>2624.6420000000003</v>
      </c>
      <c r="K188" s="187">
        <v>3014.3750000000005</v>
      </c>
      <c r="L188" s="187">
        <v>3313.91</v>
      </c>
      <c r="M188" s="187">
        <v>3690.104000000001</v>
      </c>
      <c r="N188" s="187">
        <f t="shared" si="4"/>
        <v>2257.1259999999997</v>
      </c>
      <c r="O188" s="189">
        <f t="shared" si="5"/>
        <v>0.016137365585464414</v>
      </c>
      <c r="P188" s="189">
        <v>0.020759</v>
      </c>
      <c r="Q188" s="189">
        <v>0.42293482872635013</v>
      </c>
      <c r="R188" s="176">
        <v>0.037021927380134094</v>
      </c>
      <c r="S188" s="188"/>
    </row>
    <row r="189" spans="1:19" ht="12.75">
      <c r="A189">
        <v>188</v>
      </c>
      <c r="B189" s="185" t="s">
        <v>263</v>
      </c>
      <c r="C189" s="186">
        <v>793.4989999999999</v>
      </c>
      <c r="D189" s="187">
        <v>860.798</v>
      </c>
      <c r="E189" s="187">
        <v>873.7620000000001</v>
      </c>
      <c r="F189" s="187">
        <v>947.9989999999999</v>
      </c>
      <c r="G189" s="187">
        <v>1056.6470000000002</v>
      </c>
      <c r="H189" s="187">
        <v>1160.4989999999998</v>
      </c>
      <c r="I189" s="187">
        <v>1280.425</v>
      </c>
      <c r="J189" s="187">
        <v>1329.202</v>
      </c>
      <c r="K189" s="187">
        <v>1410.1490000000001</v>
      </c>
      <c r="L189" s="187">
        <v>1480.4520000000002</v>
      </c>
      <c r="M189" s="187">
        <v>1574.135</v>
      </c>
      <c r="N189" s="187">
        <f t="shared" si="4"/>
        <v>1280.425</v>
      </c>
      <c r="O189" s="189">
        <f t="shared" si="5"/>
        <v>0.009615838993288994</v>
      </c>
      <c r="P189" s="189">
        <v>0.010373</v>
      </c>
      <c r="Q189" s="189">
        <v>0.4898600340141219</v>
      </c>
      <c r="R189" s="176">
        <v>0.02785851849784755</v>
      </c>
      <c r="S189" s="188"/>
    </row>
    <row r="190" spans="1:19" ht="12.75">
      <c r="A190">
        <v>189</v>
      </c>
      <c r="B190" s="185" t="s">
        <v>19</v>
      </c>
      <c r="C190" s="186">
        <v>11356.854000000003</v>
      </c>
      <c r="D190" s="187">
        <v>13048.882</v>
      </c>
      <c r="E190" s="187">
        <v>14797.257000000001</v>
      </c>
      <c r="F190" s="187">
        <v>16994.402000000002</v>
      </c>
      <c r="G190" s="187">
        <v>19939.962000000003</v>
      </c>
      <c r="H190" s="187">
        <v>23566.584000000003</v>
      </c>
      <c r="I190" s="187">
        <v>27976.397000000004</v>
      </c>
      <c r="J190" s="187">
        <v>32634.452999999994</v>
      </c>
      <c r="K190" s="187">
        <v>37299.428</v>
      </c>
      <c r="L190" s="187">
        <v>41901.183</v>
      </c>
      <c r="M190" s="187">
        <v>46063.355</v>
      </c>
      <c r="N190" s="187">
        <f t="shared" si="4"/>
        <v>27976.397000000004</v>
      </c>
      <c r="O190" s="189">
        <f t="shared" si="5"/>
        <v>0.01819433124371117</v>
      </c>
      <c r="P190" s="189">
        <v>0.017426000000000004</v>
      </c>
      <c r="Q190" s="189">
        <v>0.48370141811110534</v>
      </c>
      <c r="R190" s="176">
        <v>0.03670182019519363</v>
      </c>
      <c r="S190" s="188"/>
    </row>
    <row r="191" spans="1:19" ht="12.75">
      <c r="A191">
        <v>190</v>
      </c>
      <c r="B191" s="185" t="s">
        <v>264</v>
      </c>
      <c r="C191" s="186">
        <v>780.3060000000002</v>
      </c>
      <c r="D191" s="187">
        <v>816.0279999999999</v>
      </c>
      <c r="E191" s="187">
        <v>860.994</v>
      </c>
      <c r="F191" s="187">
        <v>908.3909999999998</v>
      </c>
      <c r="G191" s="187">
        <v>1110.795</v>
      </c>
      <c r="H191" s="187">
        <v>1239.1990000000003</v>
      </c>
      <c r="I191" s="187">
        <v>1366.644</v>
      </c>
      <c r="J191" s="187">
        <v>1611.601</v>
      </c>
      <c r="K191" s="187">
        <v>1877.2489999999998</v>
      </c>
      <c r="L191" s="187">
        <v>2116.581</v>
      </c>
      <c r="M191" s="187">
        <v>2523.4619999999995</v>
      </c>
      <c r="N191" s="187">
        <f t="shared" si="4"/>
        <v>1366.644</v>
      </c>
      <c r="O191" s="189">
        <f t="shared" si="5"/>
        <v>0.011271595647247556</v>
      </c>
      <c r="P191" s="189">
        <v>0.049382499999999996</v>
      </c>
      <c r="Q191" s="189">
        <v>0.7379011165979323</v>
      </c>
      <c r="R191" s="176">
        <v>0.040083555705199024</v>
      </c>
      <c r="S191" s="188"/>
    </row>
    <row r="192" spans="1:19" ht="12.75">
      <c r="A192">
        <v>191</v>
      </c>
      <c r="B192" s="185" t="s">
        <v>265</v>
      </c>
      <c r="C192" s="186">
        <v>378.998</v>
      </c>
      <c r="D192" s="187">
        <v>416</v>
      </c>
      <c r="E192" s="187">
        <v>480.102</v>
      </c>
      <c r="F192" s="187">
        <v>514.899</v>
      </c>
      <c r="G192" s="187">
        <v>561.8140000000002</v>
      </c>
      <c r="H192" s="187">
        <v>626.878</v>
      </c>
      <c r="I192" s="187">
        <v>711.3779999999999</v>
      </c>
      <c r="J192" s="187">
        <v>782.0570000000001</v>
      </c>
      <c r="K192" s="187">
        <v>808.5380000000001</v>
      </c>
      <c r="L192" s="187">
        <v>878.855</v>
      </c>
      <c r="M192" s="187">
        <v>970.898</v>
      </c>
      <c r="N192" s="187">
        <f t="shared" si="4"/>
        <v>711.3779999999999</v>
      </c>
      <c r="O192" s="189">
        <f t="shared" si="5"/>
        <v>0.012673091668229386</v>
      </c>
      <c r="P192" s="189">
        <v>0.0250815</v>
      </c>
      <c r="Q192" s="189">
        <v>0.7953148538329542</v>
      </c>
      <c r="R192" s="176">
        <v>0.034961793951980805</v>
      </c>
      <c r="S192" s="188"/>
    </row>
    <row r="193" spans="1:19" ht="12.75">
      <c r="A193">
        <v>192</v>
      </c>
      <c r="B193" s="185" t="s">
        <v>266</v>
      </c>
      <c r="C193" s="186">
        <v>2157.3</v>
      </c>
      <c r="D193" s="187">
        <v>2283.1</v>
      </c>
      <c r="E193" s="187">
        <v>2390.5</v>
      </c>
      <c r="F193" s="187">
        <v>2486.001</v>
      </c>
      <c r="G193" s="187">
        <v>2756</v>
      </c>
      <c r="H193" s="187">
        <v>3184.7320000000004</v>
      </c>
      <c r="I193" s="187">
        <v>3763.2</v>
      </c>
      <c r="J193" s="187">
        <v>4428.8009999999995</v>
      </c>
      <c r="K193" s="187">
        <v>5088.15</v>
      </c>
      <c r="L193" s="187">
        <v>5902.9389999999985</v>
      </c>
      <c r="M193" s="187">
        <v>6649.739</v>
      </c>
      <c r="N193" s="187">
        <f t="shared" si="4"/>
        <v>3763.2</v>
      </c>
      <c r="O193" s="189">
        <f t="shared" si="5"/>
        <v>0.011190393624696648</v>
      </c>
      <c r="P193" s="189">
        <v>0.038434499999999996</v>
      </c>
      <c r="Q193" s="189">
        <v>0.8617222618139689</v>
      </c>
      <c r="R193" s="176">
        <v>0.03701104523045842</v>
      </c>
      <c r="S193" s="188"/>
    </row>
    <row r="194" spans="1:19" ht="12.75">
      <c r="A194">
        <v>193</v>
      </c>
      <c r="B194" s="185" t="s">
        <v>267</v>
      </c>
      <c r="C194" s="186">
        <v>12833</v>
      </c>
      <c r="D194" s="187">
        <v>14450</v>
      </c>
      <c r="E194" s="187">
        <v>16166.002</v>
      </c>
      <c r="F194" s="187">
        <v>18055.402</v>
      </c>
      <c r="G194" s="187">
        <v>20788.599</v>
      </c>
      <c r="H194" s="187">
        <v>23973.699000000004</v>
      </c>
      <c r="I194" s="187">
        <v>27129.998999999996</v>
      </c>
      <c r="J194" s="187">
        <v>32035.889000000006</v>
      </c>
      <c r="K194" s="187">
        <v>36468.244000000006</v>
      </c>
      <c r="L194" s="187">
        <v>41653.890999999996</v>
      </c>
      <c r="M194" s="187">
        <v>46647.424999999996</v>
      </c>
      <c r="N194" s="187">
        <f t="shared" si="4"/>
        <v>27129.998999999996</v>
      </c>
      <c r="O194" s="189">
        <f t="shared" si="5"/>
        <v>0.015085050146401713</v>
      </c>
      <c r="P194" s="189">
        <v>0.036773499999999994</v>
      </c>
      <c r="Q194" s="189">
        <v>0.67558</v>
      </c>
      <c r="R194" s="176">
        <v>0.03555218403037556</v>
      </c>
      <c r="S194" s="188"/>
    </row>
    <row r="195" spans="1:19" ht="12.75">
      <c r="A195">
        <v>194</v>
      </c>
      <c r="B195" s="185" t="s">
        <v>268</v>
      </c>
      <c r="C195" s="186">
        <v>813.529</v>
      </c>
      <c r="D195" s="187">
        <v>900.806</v>
      </c>
      <c r="E195" s="187">
        <v>964.319</v>
      </c>
      <c r="F195" s="187">
        <v>1051.41</v>
      </c>
      <c r="G195" s="187">
        <v>1203.955</v>
      </c>
      <c r="H195" s="187">
        <v>1424.887</v>
      </c>
      <c r="I195" s="187">
        <v>1678.65</v>
      </c>
      <c r="J195" s="187">
        <v>1920.8789999999995</v>
      </c>
      <c r="K195" s="187">
        <v>2183.5319999999997</v>
      </c>
      <c r="L195" s="187">
        <v>2541.7</v>
      </c>
      <c r="M195" s="187">
        <v>2953.9869999999996</v>
      </c>
      <c r="N195" s="187">
        <f aca="true" t="shared" si="6" ref="N195:N214">HLOOKUP($N$1,$C$1:$M$214,A195+1)</f>
        <v>1678.65</v>
      </c>
      <c r="O195" s="189">
        <f aca="true" t="shared" si="7" ref="O195:O214">(N195/C195)^(1/50)-1</f>
        <v>0.01459272120359012</v>
      </c>
      <c r="P195" s="189">
        <v>0.037100999999999995</v>
      </c>
      <c r="Q195" s="189">
        <v>0.704643264410794</v>
      </c>
      <c r="R195" s="176">
        <v>0.035584437893608226</v>
      </c>
      <c r="S195" s="188"/>
    </row>
    <row r="196" spans="1:19" ht="12.75">
      <c r="A196">
        <v>195</v>
      </c>
      <c r="B196" s="185" t="s">
        <v>269</v>
      </c>
      <c r="C196" s="186">
        <v>2898.8349999999996</v>
      </c>
      <c r="D196" s="187">
        <v>3214.6519999999996</v>
      </c>
      <c r="E196" s="187">
        <v>3670.4660000000003</v>
      </c>
      <c r="F196" s="187">
        <v>4301.342</v>
      </c>
      <c r="G196" s="187">
        <v>5009.9929999999995</v>
      </c>
      <c r="H196" s="187">
        <v>5665.825</v>
      </c>
      <c r="I196" s="187">
        <v>6502.98</v>
      </c>
      <c r="J196" s="187">
        <v>7575.22</v>
      </c>
      <c r="K196" s="187">
        <v>8948.184</v>
      </c>
      <c r="L196" s="187">
        <v>10337.995</v>
      </c>
      <c r="M196" s="187">
        <v>11834.026999999998</v>
      </c>
      <c r="N196" s="187">
        <f t="shared" si="6"/>
        <v>6502.98</v>
      </c>
      <c r="O196" s="189">
        <f t="shared" si="7"/>
        <v>0.016290295258560406</v>
      </c>
      <c r="P196" s="189">
        <v>0.0518775</v>
      </c>
      <c r="Q196" s="189">
        <v>0.6957289804643749</v>
      </c>
      <c r="R196" s="176">
        <v>0.043193576198778505</v>
      </c>
      <c r="S196" s="188"/>
    </row>
    <row r="197" spans="1:19" ht="12.75">
      <c r="A197">
        <v>196</v>
      </c>
      <c r="B197" s="185" t="s">
        <v>65</v>
      </c>
      <c r="C197" s="186">
        <v>27137.92</v>
      </c>
      <c r="D197" s="187">
        <v>30316.034000000003</v>
      </c>
      <c r="E197" s="187">
        <v>31719.09</v>
      </c>
      <c r="F197" s="187">
        <v>33226.584</v>
      </c>
      <c r="G197" s="187">
        <v>35499.227</v>
      </c>
      <c r="H197" s="187">
        <v>37743.474</v>
      </c>
      <c r="I197" s="187">
        <v>39331.301</v>
      </c>
      <c r="J197" s="187">
        <v>39910.476</v>
      </c>
      <c r="K197" s="187">
        <v>40770.21</v>
      </c>
      <c r="L197" s="187">
        <v>40987.151999999995</v>
      </c>
      <c r="M197" s="187">
        <v>40727.767</v>
      </c>
      <c r="N197" s="187">
        <f t="shared" si="6"/>
        <v>39331.301</v>
      </c>
      <c r="O197" s="189">
        <f t="shared" si="7"/>
        <v>0.007449382682496175</v>
      </c>
      <c r="P197" s="189">
        <v>0.015</v>
      </c>
      <c r="Q197" s="189">
        <v>0.918463290738232</v>
      </c>
      <c r="R197" s="176">
        <v>0.020658886431048403</v>
      </c>
      <c r="S197" s="188"/>
    </row>
    <row r="198" spans="1:19" ht="12.75">
      <c r="A198">
        <v>197</v>
      </c>
      <c r="B198" s="185" t="s">
        <v>270</v>
      </c>
      <c r="C198" s="186">
        <v>40.18399999999999</v>
      </c>
      <c r="D198" s="187">
        <v>44.99699999999999</v>
      </c>
      <c r="E198" s="187">
        <v>50.84700000000001</v>
      </c>
      <c r="F198" s="187">
        <v>89.298</v>
      </c>
      <c r="G198" s="187">
        <v>145.04</v>
      </c>
      <c r="H198" s="187">
        <v>362.423</v>
      </c>
      <c r="I198" s="187">
        <v>724.9</v>
      </c>
      <c r="J198" s="187">
        <v>1112.3430000000003</v>
      </c>
      <c r="K198" s="187">
        <v>1415.821</v>
      </c>
      <c r="L198" s="187">
        <v>1671.167</v>
      </c>
      <c r="M198" s="187">
        <v>1928.2239999999997</v>
      </c>
      <c r="N198" s="187">
        <f t="shared" si="6"/>
        <v>724.9</v>
      </c>
      <c r="O198" s="189">
        <f t="shared" si="7"/>
        <v>0.05955742373420292</v>
      </c>
      <c r="P198" s="189">
        <v>0.0278835</v>
      </c>
      <c r="Q198" s="189">
        <v>0.7238453029341545</v>
      </c>
      <c r="R198" s="176">
        <v>0.026816597329164537</v>
      </c>
      <c r="S198" s="188"/>
    </row>
    <row r="199" spans="1:19" ht="12.75">
      <c r="A199">
        <v>198</v>
      </c>
      <c r="B199" s="185" t="s">
        <v>271</v>
      </c>
      <c r="C199" s="186">
        <v>39309.999</v>
      </c>
      <c r="D199" s="187">
        <v>39487</v>
      </c>
      <c r="E199" s="187">
        <v>40190.809</v>
      </c>
      <c r="F199" s="187">
        <v>41726.07</v>
      </c>
      <c r="G199" s="187">
        <v>42141.13900000001</v>
      </c>
      <c r="H199" s="187">
        <v>43104.42600000001</v>
      </c>
      <c r="I199" s="187">
        <v>44559.84</v>
      </c>
      <c r="J199" s="187">
        <v>45775.702</v>
      </c>
      <c r="K199" s="187">
        <v>46539</v>
      </c>
      <c r="L199" s="187">
        <v>47244.138999999996</v>
      </c>
      <c r="M199" s="187">
        <v>48142.435</v>
      </c>
      <c r="N199" s="187">
        <f t="shared" si="6"/>
        <v>44559.84</v>
      </c>
      <c r="O199" s="189">
        <f t="shared" si="7"/>
        <v>0.00251022717669791</v>
      </c>
      <c r="P199" s="189">
        <v>0.013254999999999998</v>
      </c>
      <c r="Q199" s="189">
        <v>0.7311688791287962</v>
      </c>
      <c r="R199" s="176">
        <v>0.018066750071887187</v>
      </c>
      <c r="S199" s="188"/>
    </row>
    <row r="200" spans="1:19" ht="12.75">
      <c r="A200">
        <v>199</v>
      </c>
      <c r="B200" s="185" t="s">
        <v>272</v>
      </c>
      <c r="C200" s="186">
        <v>4261.940999999998</v>
      </c>
      <c r="D200" s="187">
        <v>4841.285</v>
      </c>
      <c r="E200" s="187">
        <v>5527.936000000001</v>
      </c>
      <c r="F200" s="187">
        <v>6362.668</v>
      </c>
      <c r="G200" s="187">
        <v>7323.336000000001</v>
      </c>
      <c r="H200" s="187">
        <v>8436.526</v>
      </c>
      <c r="I200" s="187">
        <v>9872.475</v>
      </c>
      <c r="J200" s="187">
        <v>11634.734</v>
      </c>
      <c r="K200" s="187">
        <v>13878.959</v>
      </c>
      <c r="L200" s="187">
        <v>16669.059</v>
      </c>
      <c r="M200" s="187">
        <v>19319.485000000004</v>
      </c>
      <c r="N200" s="187">
        <f t="shared" si="6"/>
        <v>9872.475</v>
      </c>
      <c r="O200" s="189">
        <f t="shared" si="7"/>
        <v>0.016942440207004195</v>
      </c>
      <c r="P200" s="189">
        <v>0.0504915</v>
      </c>
      <c r="Q200" s="189">
        <v>0.6861513450635558</v>
      </c>
      <c r="R200" s="176">
        <v>0.04320801125423164</v>
      </c>
      <c r="S200" s="188"/>
    </row>
    <row r="201" spans="1:19" ht="12.75">
      <c r="A201">
        <v>200</v>
      </c>
      <c r="B201" s="185" t="s">
        <v>273</v>
      </c>
      <c r="C201" s="186">
        <v>115217.31299999998</v>
      </c>
      <c r="D201" s="187">
        <v>120601.84300000002</v>
      </c>
      <c r="E201" s="187">
        <v>128759.951</v>
      </c>
      <c r="F201" s="187">
        <v>138995.829</v>
      </c>
      <c r="G201" s="187">
        <v>150552.47699999998</v>
      </c>
      <c r="H201" s="187">
        <v>164741.04600000003</v>
      </c>
      <c r="I201" s="187">
        <v>178501.87</v>
      </c>
      <c r="J201" s="187">
        <v>189785.702</v>
      </c>
      <c r="K201" s="187">
        <v>198953.24499999997</v>
      </c>
      <c r="L201" s="187">
        <v>209063.68</v>
      </c>
      <c r="M201" s="187">
        <v>221722.88400000005</v>
      </c>
      <c r="N201" s="187">
        <f t="shared" si="6"/>
        <v>178501.87</v>
      </c>
      <c r="O201" s="189">
        <f t="shared" si="7"/>
        <v>0.00879402329128065</v>
      </c>
      <c r="P201" s="189">
        <v>0.0140115</v>
      </c>
      <c r="Q201" s="189">
        <v>0.6844536752727294</v>
      </c>
      <c r="R201" s="176">
        <v>0.021704950246571895</v>
      </c>
      <c r="S201" s="188"/>
    </row>
    <row r="202" spans="1:19" ht="12.75">
      <c r="A202">
        <v>201</v>
      </c>
      <c r="B202" s="185" t="s">
        <v>46</v>
      </c>
      <c r="C202" s="186">
        <v>1614.515</v>
      </c>
      <c r="D202" s="187">
        <v>1717.9</v>
      </c>
      <c r="E202" s="187">
        <v>1830.413</v>
      </c>
      <c r="F202" s="187">
        <v>1937.0639999999999</v>
      </c>
      <c r="G202" s="187">
        <v>2024.6009999999999</v>
      </c>
      <c r="H202" s="187">
        <v>2045.288</v>
      </c>
      <c r="I202" s="187">
        <v>2128.555</v>
      </c>
      <c r="J202" s="187">
        <v>2201.2039999999997</v>
      </c>
      <c r="K202" s="187">
        <v>2296.742999999999</v>
      </c>
      <c r="L202" s="187">
        <v>2412.023</v>
      </c>
      <c r="M202" s="187">
        <v>2509.74</v>
      </c>
      <c r="N202" s="187">
        <f t="shared" si="6"/>
        <v>2128.555</v>
      </c>
      <c r="O202" s="189">
        <f t="shared" si="7"/>
        <v>0.005543483430590301</v>
      </c>
      <c r="P202" s="189">
        <v>0.0239275</v>
      </c>
      <c r="Q202" s="189">
        <v>0.67558</v>
      </c>
      <c r="R202" s="176">
        <v>0.023164714076653024</v>
      </c>
      <c r="S202" s="188"/>
    </row>
    <row r="203" spans="1:19" ht="12.75">
      <c r="A203">
        <v>202</v>
      </c>
      <c r="B203" s="185" t="s">
        <v>274</v>
      </c>
      <c r="C203" s="186">
        <v>4313.516000000002</v>
      </c>
      <c r="D203" s="187">
        <v>4927.902</v>
      </c>
      <c r="E203" s="187">
        <v>5253.269000000001</v>
      </c>
      <c r="F203" s="187">
        <v>5693.488000000001</v>
      </c>
      <c r="G203" s="187">
        <v>6564.920999999999</v>
      </c>
      <c r="H203" s="187">
        <v>7921.084</v>
      </c>
      <c r="I203" s="187">
        <v>9423.794999999998</v>
      </c>
      <c r="J203" s="187">
        <v>10815.306000000002</v>
      </c>
      <c r="K203" s="187">
        <v>12123.163999999999</v>
      </c>
      <c r="L203" s="187">
        <v>13734.773</v>
      </c>
      <c r="M203" s="187">
        <v>15858.727</v>
      </c>
      <c r="N203" s="187">
        <f t="shared" si="6"/>
        <v>9423.794999999998</v>
      </c>
      <c r="O203" s="189">
        <f t="shared" si="7"/>
        <v>0.015752472960232966</v>
      </c>
      <c r="P203" s="189">
        <v>0.034068</v>
      </c>
      <c r="Q203" s="189">
        <v>0.6523797941881613</v>
      </c>
      <c r="R203" s="176">
        <v>0.03530687319449398</v>
      </c>
      <c r="S203" s="188"/>
    </row>
    <row r="204" spans="1:19" ht="12.75">
      <c r="A204">
        <v>203</v>
      </c>
      <c r="B204" s="185" t="s">
        <v>275</v>
      </c>
      <c r="C204" s="186">
        <v>25.633999999999993</v>
      </c>
      <c r="D204" s="187">
        <v>29.358</v>
      </c>
      <c r="E204" s="187">
        <v>34.008</v>
      </c>
      <c r="F204" s="187">
        <v>39.735</v>
      </c>
      <c r="G204" s="187">
        <v>46.82</v>
      </c>
      <c r="H204" s="187">
        <v>55.06399999999999</v>
      </c>
      <c r="I204" s="187">
        <v>64.21</v>
      </c>
      <c r="J204" s="187">
        <v>73.175</v>
      </c>
      <c r="K204" s="187">
        <v>83.77200000000002</v>
      </c>
      <c r="L204" s="187">
        <v>97.44</v>
      </c>
      <c r="M204" s="187">
        <v>114.163</v>
      </c>
      <c r="N204" s="187">
        <f t="shared" si="6"/>
        <v>64.21</v>
      </c>
      <c r="O204" s="189">
        <f t="shared" si="7"/>
        <v>0.018534457095029655</v>
      </c>
      <c r="P204" s="189">
        <v>0.038858000000000004</v>
      </c>
      <c r="Q204" s="189">
        <v>0.6206727461194982</v>
      </c>
      <c r="R204" s="176">
        <v>0.041825246315620596</v>
      </c>
      <c r="S204" s="188"/>
    </row>
    <row r="205" spans="1:19" ht="12.75">
      <c r="A205">
        <v>204</v>
      </c>
      <c r="B205" s="185" t="s">
        <v>276</v>
      </c>
      <c r="C205" s="186">
        <v>2879.93</v>
      </c>
      <c r="D205" s="187">
        <v>3431.9049999999997</v>
      </c>
      <c r="E205" s="187">
        <v>4115.232000000001</v>
      </c>
      <c r="F205" s="187">
        <v>4875.381</v>
      </c>
      <c r="G205" s="187">
        <v>5828.729</v>
      </c>
      <c r="H205" s="187">
        <v>7220.657000000002</v>
      </c>
      <c r="I205" s="187">
        <v>8951.632</v>
      </c>
      <c r="J205" s="187">
        <v>10417.288999999999</v>
      </c>
      <c r="K205" s="187">
        <v>12060.485000000002</v>
      </c>
      <c r="L205" s="187">
        <v>13929.68</v>
      </c>
      <c r="M205" s="187">
        <v>15942.795000000004</v>
      </c>
      <c r="N205" s="187">
        <f t="shared" si="6"/>
        <v>8951.632</v>
      </c>
      <c r="O205" s="189">
        <f t="shared" si="7"/>
        <v>0.022940576172807203</v>
      </c>
      <c r="P205" s="189">
        <v>0.018223</v>
      </c>
      <c r="Q205" s="189">
        <v>0.37110092181070264</v>
      </c>
      <c r="R205" s="176">
        <v>0.03817793744845854</v>
      </c>
      <c r="S205" s="188"/>
    </row>
    <row r="206" spans="1:19" ht="12.75">
      <c r="A206">
        <v>205</v>
      </c>
      <c r="B206" s="185" t="s">
        <v>20</v>
      </c>
      <c r="C206" s="186">
        <v>18678.556</v>
      </c>
      <c r="D206" s="187">
        <v>19553.880999999998</v>
      </c>
      <c r="E206" s="187">
        <v>20400.34</v>
      </c>
      <c r="F206" s="187">
        <v>21543.066000000003</v>
      </c>
      <c r="G206" s="187">
        <v>23978.362999999998</v>
      </c>
      <c r="H206" s="187">
        <v>27291.826000000005</v>
      </c>
      <c r="I206" s="187">
        <v>30884.682999999997</v>
      </c>
      <c r="J206" s="187">
        <v>35376.244</v>
      </c>
      <c r="K206" s="187">
        <v>40384.27799999999</v>
      </c>
      <c r="L206" s="187">
        <v>45937.147000000004</v>
      </c>
      <c r="M206" s="187">
        <v>52066.59299999999</v>
      </c>
      <c r="N206" s="187">
        <f t="shared" si="6"/>
        <v>30884.682999999997</v>
      </c>
      <c r="O206" s="189">
        <f t="shared" si="7"/>
        <v>0.010108433252577376</v>
      </c>
      <c r="P206" s="189">
        <v>0.020810000000000002</v>
      </c>
      <c r="Q206" s="189">
        <v>0.4807529972228623</v>
      </c>
      <c r="R206" s="176">
        <v>0.034533529372604524</v>
      </c>
      <c r="S206" s="188"/>
    </row>
    <row r="207" spans="1:19" ht="12.75">
      <c r="A207">
        <v>206</v>
      </c>
      <c r="B207" s="185" t="s">
        <v>277</v>
      </c>
      <c r="C207" s="186">
        <v>35024.837</v>
      </c>
      <c r="D207" s="187">
        <v>38494.45</v>
      </c>
      <c r="E207" s="187">
        <v>42546.761</v>
      </c>
      <c r="F207" s="187">
        <v>47136.16199999999</v>
      </c>
      <c r="G207" s="187">
        <v>53066.63199999998</v>
      </c>
      <c r="H207" s="187">
        <v>60280.195000000014</v>
      </c>
      <c r="I207" s="187">
        <v>69459.516</v>
      </c>
      <c r="J207" s="187">
        <v>79526.96199999998</v>
      </c>
      <c r="K207" s="187">
        <v>91764.19399999999</v>
      </c>
      <c r="L207" s="187">
        <v>106292.94900000002</v>
      </c>
      <c r="M207" s="187">
        <v>123726.637</v>
      </c>
      <c r="N207" s="187">
        <f t="shared" si="6"/>
        <v>69459.516</v>
      </c>
      <c r="O207" s="189">
        <f t="shared" si="7"/>
        <v>0.013787921416523519</v>
      </c>
      <c r="P207" s="189">
        <v>0.042367499999999995</v>
      </c>
      <c r="Q207" s="189">
        <v>0.6687789681485514</v>
      </c>
      <c r="R207" s="176">
        <v>0.040459156464517254</v>
      </c>
      <c r="S207" s="188"/>
    </row>
    <row r="208" spans="1:19" ht="12.75">
      <c r="A208">
        <v>207</v>
      </c>
      <c r="B208" s="185" t="s">
        <v>278</v>
      </c>
      <c r="C208" s="186">
        <v>30884.823999999997</v>
      </c>
      <c r="D208" s="187">
        <v>34931.024999999994</v>
      </c>
      <c r="E208" s="187">
        <v>38801.17</v>
      </c>
      <c r="F208" s="187">
        <v>43388.672999999995</v>
      </c>
      <c r="G208" s="187">
        <v>49818.79</v>
      </c>
      <c r="H208" s="187">
        <v>57655.47399999999</v>
      </c>
      <c r="I208" s="187">
        <v>67024.38899999998</v>
      </c>
      <c r="J208" s="187">
        <v>79203.75300000001</v>
      </c>
      <c r="K208" s="187">
        <v>91304.04899999998</v>
      </c>
      <c r="L208" s="187">
        <v>105044.27900000001</v>
      </c>
      <c r="M208" s="187">
        <v>120708.976</v>
      </c>
      <c r="N208" s="187">
        <f t="shared" si="6"/>
        <v>67024.38899999998</v>
      </c>
      <c r="O208" s="189">
        <f t="shared" si="7"/>
        <v>0.015616515721699642</v>
      </c>
      <c r="P208" s="189">
        <v>0.030373999999999998</v>
      </c>
      <c r="Q208" s="189">
        <v>0.659735346989671</v>
      </c>
      <c r="R208" s="176">
        <v>0.03619260366279626</v>
      </c>
      <c r="S208" s="188"/>
    </row>
    <row r="209" spans="1:19" ht="12.75">
      <c r="A209">
        <v>208</v>
      </c>
      <c r="B209" s="185" t="s">
        <v>279</v>
      </c>
      <c r="C209" s="186">
        <v>108042.57100000001</v>
      </c>
      <c r="D209" s="187">
        <v>112143.26</v>
      </c>
      <c r="E209" s="187">
        <v>115861.67799999999</v>
      </c>
      <c r="F209" s="187">
        <v>121207.29200000002</v>
      </c>
      <c r="G209" s="187">
        <v>125708.501</v>
      </c>
      <c r="H209" s="187">
        <v>130727.14799999999</v>
      </c>
      <c r="I209" s="187">
        <v>135981.15699999998</v>
      </c>
      <c r="J209" s="187">
        <v>140416.31</v>
      </c>
      <c r="K209" s="187">
        <v>144718.578</v>
      </c>
      <c r="L209" s="187">
        <v>149037.142</v>
      </c>
      <c r="M209" s="187">
        <v>151981.39</v>
      </c>
      <c r="N209" s="187">
        <f t="shared" si="6"/>
        <v>135981.15699999998</v>
      </c>
      <c r="O209" s="189">
        <f t="shared" si="7"/>
        <v>0.004610415397044765</v>
      </c>
      <c r="P209" s="189">
        <v>0.014868999999999999</v>
      </c>
      <c r="Q209" s="189">
        <v>0.67558</v>
      </c>
      <c r="R209" s="176">
        <v>0.018261466750996862</v>
      </c>
      <c r="S209" s="188"/>
    </row>
    <row r="210" spans="1:19" ht="12.75">
      <c r="A210">
        <v>209</v>
      </c>
      <c r="B210" s="185" t="s">
        <v>280</v>
      </c>
      <c r="C210" s="186">
        <v>7.910999999999999</v>
      </c>
      <c r="D210" s="187">
        <v>13.531000000000004</v>
      </c>
      <c r="E210" s="187">
        <v>21.434000000000005</v>
      </c>
      <c r="F210" s="187">
        <v>33.01899999999999</v>
      </c>
      <c r="G210" s="187">
        <v>50.59699999999999</v>
      </c>
      <c r="H210" s="187">
        <v>66.375</v>
      </c>
      <c r="I210" s="187">
        <v>89.45</v>
      </c>
      <c r="J210" s="187">
        <v>94.53200000000001</v>
      </c>
      <c r="K210" s="187">
        <v>104.365</v>
      </c>
      <c r="L210" s="187">
        <v>133.212</v>
      </c>
      <c r="M210" s="187">
        <v>160.10599999999997</v>
      </c>
      <c r="N210" s="187">
        <f t="shared" si="6"/>
        <v>89.45</v>
      </c>
      <c r="O210" s="189">
        <f t="shared" si="7"/>
        <v>0.04970430715750007</v>
      </c>
      <c r="P210" s="189">
        <v>0.027205499999999997</v>
      </c>
      <c r="Q210" s="189">
        <v>0.5939580041760233</v>
      </c>
      <c r="R210" s="176">
        <v>0.030387040825670376</v>
      </c>
      <c r="S210" s="188"/>
    </row>
    <row r="211" spans="1:19" ht="12.75">
      <c r="A211">
        <v>210</v>
      </c>
      <c r="B211" s="185" t="s">
        <v>281</v>
      </c>
      <c r="C211" s="186">
        <v>2490.7</v>
      </c>
      <c r="D211" s="187">
        <v>2712.5009999999997</v>
      </c>
      <c r="E211" s="187">
        <v>2993.502</v>
      </c>
      <c r="F211" s="187">
        <v>3329.2</v>
      </c>
      <c r="G211" s="187">
        <v>3572.3009999999995</v>
      </c>
      <c r="H211" s="187">
        <v>3429.5510000000004</v>
      </c>
      <c r="I211" s="187">
        <v>4088.8659999999995</v>
      </c>
      <c r="J211" s="187">
        <v>4914.425</v>
      </c>
      <c r="K211" s="187">
        <v>5932.026999999999</v>
      </c>
      <c r="L211" s="187">
        <v>7715.88</v>
      </c>
      <c r="M211" s="187">
        <v>9161.114000000001</v>
      </c>
      <c r="N211" s="187">
        <f t="shared" si="6"/>
        <v>4088.8659999999995</v>
      </c>
      <c r="O211" s="189">
        <f t="shared" si="7"/>
        <v>0.00996338476753067</v>
      </c>
      <c r="P211" s="189">
        <v>0.0256395</v>
      </c>
      <c r="Q211" s="189">
        <v>0.3541782272832323</v>
      </c>
      <c r="R211" s="176">
        <v>0.04237253283529316</v>
      </c>
      <c r="S211" s="188"/>
    </row>
    <row r="212" spans="1:19" ht="12.75">
      <c r="A212">
        <v>211</v>
      </c>
      <c r="B212" s="185" t="s">
        <v>282</v>
      </c>
      <c r="C212" s="186">
        <v>5093.597999999999</v>
      </c>
      <c r="D212" s="187">
        <v>5428.2</v>
      </c>
      <c r="E212" s="187">
        <v>5650.556</v>
      </c>
      <c r="F212" s="187">
        <v>6027.798999999999</v>
      </c>
      <c r="G212" s="187">
        <v>6496.096</v>
      </c>
      <c r="H212" s="187">
        <v>6849.699</v>
      </c>
      <c r="I212" s="187">
        <v>7229.0869999999995</v>
      </c>
      <c r="J212" s="187">
        <v>7483.599</v>
      </c>
      <c r="K212" s="187">
        <v>7779.2</v>
      </c>
      <c r="L212" s="187">
        <v>8233.037</v>
      </c>
      <c r="M212" s="187">
        <v>8439.303999999998</v>
      </c>
      <c r="N212" s="187">
        <f t="shared" si="6"/>
        <v>7229.0869999999995</v>
      </c>
      <c r="O212" s="189">
        <f t="shared" si="7"/>
        <v>0.007027141128702841</v>
      </c>
      <c r="P212" s="189">
        <v>0.017259999999999998</v>
      </c>
      <c r="Q212" s="189">
        <v>0.8984764190650814</v>
      </c>
      <c r="R212" s="176">
        <v>0.022355398732824897</v>
      </c>
      <c r="S212" s="188"/>
    </row>
    <row r="213" spans="1:19" ht="12.75">
      <c r="A213">
        <v>212</v>
      </c>
      <c r="B213" s="185" t="s">
        <v>283</v>
      </c>
      <c r="C213" s="186">
        <v>1344.403</v>
      </c>
      <c r="D213" s="187">
        <v>1515.725</v>
      </c>
      <c r="E213" s="187">
        <v>1720.5420000000001</v>
      </c>
      <c r="F213" s="187">
        <v>1966.471</v>
      </c>
      <c r="G213" s="187">
        <v>2259.44</v>
      </c>
      <c r="H213" s="187">
        <v>2635.4049999999997</v>
      </c>
      <c r="I213" s="187">
        <v>3073.2129999999997</v>
      </c>
      <c r="J213" s="187">
        <v>3640.467</v>
      </c>
      <c r="K213" s="187">
        <v>4345.85</v>
      </c>
      <c r="L213" s="187">
        <v>4975.741</v>
      </c>
      <c r="M213" s="187">
        <v>5571.717000000001</v>
      </c>
      <c r="N213" s="187">
        <f t="shared" si="6"/>
        <v>3073.2129999999997</v>
      </c>
      <c r="O213" s="189">
        <f t="shared" si="7"/>
        <v>0.016672938466388842</v>
      </c>
      <c r="P213" s="189">
        <v>0.045147</v>
      </c>
      <c r="Q213" s="189">
        <v>0.6652522986401487</v>
      </c>
      <c r="R213" s="176">
        <v>0.04260832768871025</v>
      </c>
      <c r="S213" s="188"/>
    </row>
    <row r="214" spans="1:19" ht="12.75">
      <c r="A214">
        <v>213</v>
      </c>
      <c r="B214" s="185" t="s">
        <v>284</v>
      </c>
      <c r="C214" s="186">
        <v>1593.852</v>
      </c>
      <c r="D214" s="187">
        <v>1796.995</v>
      </c>
      <c r="E214" s="187">
        <v>2045.4459999999997</v>
      </c>
      <c r="F214" s="187">
        <v>2294.9620000000004</v>
      </c>
      <c r="G214" s="187">
        <v>2668.02</v>
      </c>
      <c r="H214" s="187">
        <v>3150.787</v>
      </c>
      <c r="I214" s="187">
        <v>3681.263</v>
      </c>
      <c r="J214" s="187">
        <v>4573.16</v>
      </c>
      <c r="K214" s="187">
        <v>5549.511000000001</v>
      </c>
      <c r="L214" s="187">
        <v>6194.124</v>
      </c>
      <c r="M214" s="187">
        <v>6918.206000000001</v>
      </c>
      <c r="N214" s="187">
        <f t="shared" si="6"/>
        <v>3681.263</v>
      </c>
      <c r="O214" s="189">
        <f t="shared" si="7"/>
        <v>0.01688297685405704</v>
      </c>
      <c r="P214" s="189">
        <v>0.0452485</v>
      </c>
      <c r="Q214" s="189">
        <v>0.6342792774232342</v>
      </c>
      <c r="R214" s="176">
        <v>0.04287433466368683</v>
      </c>
      <c r="S214" s="188"/>
    </row>
    <row r="215" spans="2:19" ht="12.75">
      <c r="B215" s="185"/>
      <c r="C215" s="186"/>
      <c r="D215" s="187"/>
      <c r="E215" s="187"/>
      <c r="F215" s="187"/>
      <c r="G215" s="187"/>
      <c r="H215" s="187"/>
      <c r="I215" s="187"/>
      <c r="J215" s="187"/>
      <c r="K215" s="187"/>
      <c r="L215" s="187"/>
      <c r="M215" s="187"/>
      <c r="N215" s="187"/>
      <c r="O215" s="187"/>
      <c r="P215" s="187"/>
      <c r="Q215" s="187"/>
      <c r="S215" s="188"/>
    </row>
    <row r="216" spans="2:19" ht="12.75">
      <c r="B216" s="185"/>
      <c r="C216" s="186"/>
      <c r="D216" s="187"/>
      <c r="E216" s="187"/>
      <c r="F216" s="187"/>
      <c r="G216" s="187"/>
      <c r="H216" s="187"/>
      <c r="I216" s="187"/>
      <c r="J216" s="187"/>
      <c r="K216" s="187"/>
      <c r="L216" s="187"/>
      <c r="M216" s="187"/>
      <c r="N216" s="187"/>
      <c r="O216" s="187"/>
      <c r="P216" s="187"/>
      <c r="Q216" s="187"/>
      <c r="S216" s="188"/>
    </row>
    <row r="217" spans="2:19" ht="12.75">
      <c r="B217" s="185"/>
      <c r="C217" s="186"/>
      <c r="D217" s="187"/>
      <c r="E217" s="187"/>
      <c r="F217" s="187"/>
      <c r="G217" s="187"/>
      <c r="H217" s="187"/>
      <c r="I217" s="187"/>
      <c r="J217" s="187"/>
      <c r="K217" s="187"/>
      <c r="L217" s="187"/>
      <c r="M217" s="187"/>
      <c r="N217" s="187"/>
      <c r="O217" s="187"/>
      <c r="P217" s="187"/>
      <c r="Q217" s="187"/>
      <c r="S217" s="188"/>
    </row>
    <row r="218" spans="2:19" ht="12.75">
      <c r="B218" s="185"/>
      <c r="C218" s="186"/>
      <c r="D218" s="187"/>
      <c r="E218" s="187"/>
      <c r="F218" s="187"/>
      <c r="G218" s="187"/>
      <c r="H218" s="187"/>
      <c r="I218" s="187"/>
      <c r="J218" s="187"/>
      <c r="K218" s="187"/>
      <c r="L218" s="187"/>
      <c r="M218" s="187"/>
      <c r="N218" s="187"/>
      <c r="O218" s="187"/>
      <c r="P218" s="187"/>
      <c r="Q218" s="187"/>
      <c r="S218" s="188"/>
    </row>
    <row r="219" spans="2:19" ht="12.75">
      <c r="B219" s="185"/>
      <c r="C219" s="186"/>
      <c r="D219" s="187"/>
      <c r="E219" s="187"/>
      <c r="F219" s="187"/>
      <c r="G219" s="187"/>
      <c r="H219" s="187"/>
      <c r="I219" s="187"/>
      <c r="J219" s="187"/>
      <c r="K219" s="187"/>
      <c r="L219" s="187"/>
      <c r="M219" s="187"/>
      <c r="N219" s="187"/>
      <c r="O219" s="187"/>
      <c r="P219" s="187"/>
      <c r="Q219" s="187"/>
      <c r="S219" s="188"/>
    </row>
    <row r="220" spans="2:19" ht="12.75">
      <c r="B220" s="185"/>
      <c r="C220" s="186"/>
      <c r="D220" s="187"/>
      <c r="E220" s="187"/>
      <c r="F220" s="187"/>
      <c r="G220" s="187"/>
      <c r="H220" s="187"/>
      <c r="I220" s="187"/>
      <c r="J220" s="187"/>
      <c r="K220" s="187"/>
      <c r="L220" s="187"/>
      <c r="M220" s="187"/>
      <c r="N220" s="187"/>
      <c r="O220" s="187"/>
      <c r="P220" s="187"/>
      <c r="Q220" s="187"/>
      <c r="S220" s="188"/>
    </row>
    <row r="221" spans="2:19" ht="12.75">
      <c r="B221" s="185"/>
      <c r="C221" s="186"/>
      <c r="D221" s="187"/>
      <c r="E221" s="187"/>
      <c r="F221" s="187"/>
      <c r="G221" s="187"/>
      <c r="H221" s="187"/>
      <c r="I221" s="187"/>
      <c r="J221" s="187"/>
      <c r="K221" s="187"/>
      <c r="L221" s="187"/>
      <c r="M221" s="187"/>
      <c r="N221" s="187"/>
      <c r="O221" s="187"/>
      <c r="P221" s="187"/>
      <c r="Q221" s="187"/>
      <c r="S221" s="188"/>
    </row>
    <row r="222" spans="2:19" ht="12.75">
      <c r="B222" s="185"/>
      <c r="C222" s="186"/>
      <c r="D222" s="187"/>
      <c r="E222" s="187"/>
      <c r="F222" s="187"/>
      <c r="G222" s="187"/>
      <c r="H222" s="187"/>
      <c r="I222" s="187"/>
      <c r="J222" s="187"/>
      <c r="K222" s="187"/>
      <c r="L222" s="187"/>
      <c r="M222" s="187"/>
      <c r="N222" s="187"/>
      <c r="O222" s="187"/>
      <c r="P222" s="187"/>
      <c r="Q222" s="187"/>
      <c r="R222" s="187"/>
      <c r="S222" s="188"/>
    </row>
    <row r="223" spans="2:19" ht="12.75">
      <c r="B223" s="185"/>
      <c r="C223" s="186"/>
      <c r="D223" s="187"/>
      <c r="E223" s="187"/>
      <c r="F223" s="187"/>
      <c r="G223" s="187"/>
      <c r="H223" s="187"/>
      <c r="I223" s="187"/>
      <c r="J223" s="187"/>
      <c r="K223" s="187"/>
      <c r="L223" s="187"/>
      <c r="M223" s="187"/>
      <c r="N223" s="187"/>
      <c r="O223" s="187"/>
      <c r="P223" s="187"/>
      <c r="Q223" s="187"/>
      <c r="R223" s="187"/>
      <c r="S223" s="188"/>
    </row>
    <row r="224" spans="2:19" ht="12.75">
      <c r="B224" s="185"/>
      <c r="C224" s="186"/>
      <c r="D224" s="187"/>
      <c r="E224" s="187"/>
      <c r="F224" s="187"/>
      <c r="G224" s="187"/>
      <c r="H224" s="187"/>
      <c r="I224" s="187"/>
      <c r="J224" s="187"/>
      <c r="K224" s="187"/>
      <c r="L224" s="187"/>
      <c r="M224" s="187"/>
      <c r="N224" s="187"/>
      <c r="O224" s="187"/>
      <c r="P224" s="187"/>
      <c r="Q224" s="187"/>
      <c r="R224" s="187"/>
      <c r="S224" s="188"/>
    </row>
    <row r="225" spans="2:19" ht="12.75">
      <c r="B225" s="185"/>
      <c r="C225" s="186"/>
      <c r="D225" s="187"/>
      <c r="E225" s="187"/>
      <c r="F225" s="187"/>
      <c r="G225" s="187"/>
      <c r="H225" s="187"/>
      <c r="I225" s="187"/>
      <c r="J225" s="187"/>
      <c r="K225" s="187"/>
      <c r="L225" s="187"/>
      <c r="M225" s="187"/>
      <c r="N225" s="187"/>
      <c r="O225" s="187"/>
      <c r="P225" s="187"/>
      <c r="Q225" s="187"/>
      <c r="R225" s="187"/>
      <c r="S225" s="188"/>
    </row>
    <row r="226" spans="2:19" ht="12.75">
      <c r="B226" s="185"/>
      <c r="C226" s="186"/>
      <c r="D226" s="187"/>
      <c r="E226" s="187"/>
      <c r="F226" s="187"/>
      <c r="G226" s="187"/>
      <c r="H226" s="187"/>
      <c r="I226" s="187"/>
      <c r="J226" s="187"/>
      <c r="K226" s="187"/>
      <c r="L226" s="187"/>
      <c r="M226" s="187"/>
      <c r="N226" s="187"/>
      <c r="O226" s="187"/>
      <c r="P226" s="187"/>
      <c r="Q226" s="187"/>
      <c r="R226" s="187"/>
      <c r="S226" s="188"/>
    </row>
    <row r="227" spans="2:19" ht="12.75">
      <c r="B227" s="185"/>
      <c r="C227" s="186"/>
      <c r="D227" s="187"/>
      <c r="E227" s="187"/>
      <c r="F227" s="187"/>
      <c r="G227" s="187"/>
      <c r="H227" s="187"/>
      <c r="I227" s="187"/>
      <c r="J227" s="187"/>
      <c r="K227" s="187"/>
      <c r="L227" s="187"/>
      <c r="M227" s="187"/>
      <c r="N227" s="187"/>
      <c r="O227" s="187"/>
      <c r="P227" s="187"/>
      <c r="Q227" s="187"/>
      <c r="R227" s="187"/>
      <c r="S227" s="188"/>
    </row>
    <row r="228" spans="2:19" ht="12.75">
      <c r="B228" s="185"/>
      <c r="C228" s="186"/>
      <c r="D228" s="187"/>
      <c r="E228" s="187"/>
      <c r="F228" s="187"/>
      <c r="G228" s="187"/>
      <c r="H228" s="187"/>
      <c r="I228" s="187"/>
      <c r="J228" s="187"/>
      <c r="K228" s="187"/>
      <c r="L228" s="187"/>
      <c r="M228" s="187"/>
      <c r="N228" s="187"/>
      <c r="O228" s="187"/>
      <c r="P228" s="187"/>
      <c r="Q228" s="187"/>
      <c r="R228" s="187"/>
      <c r="S228" s="188"/>
    </row>
    <row r="229" spans="2:19" ht="12.75">
      <c r="B229" s="185"/>
      <c r="C229" s="186"/>
      <c r="D229" s="187"/>
      <c r="E229" s="187"/>
      <c r="F229" s="187"/>
      <c r="G229" s="187"/>
      <c r="H229" s="187"/>
      <c r="I229" s="187"/>
      <c r="J229" s="187"/>
      <c r="K229" s="187"/>
      <c r="L229" s="187"/>
      <c r="M229" s="187"/>
      <c r="N229" s="187"/>
      <c r="O229" s="187"/>
      <c r="P229" s="187"/>
      <c r="Q229" s="187"/>
      <c r="R229" s="187"/>
      <c r="S229" s="188"/>
    </row>
    <row r="230" spans="2:19" ht="12.75">
      <c r="B230" s="185"/>
      <c r="C230" s="186"/>
      <c r="D230" s="187"/>
      <c r="E230" s="187"/>
      <c r="F230" s="187"/>
      <c r="G230" s="187"/>
      <c r="H230" s="187"/>
      <c r="I230" s="187"/>
      <c r="J230" s="187"/>
      <c r="K230" s="187"/>
      <c r="L230" s="187"/>
      <c r="M230" s="187"/>
      <c r="N230" s="187"/>
      <c r="O230" s="187"/>
      <c r="P230" s="187"/>
      <c r="Q230" s="187"/>
      <c r="R230" s="187"/>
      <c r="S230" s="188"/>
    </row>
    <row r="231" spans="2:19" ht="12.75">
      <c r="B231" s="185"/>
      <c r="C231" s="186"/>
      <c r="D231" s="187"/>
      <c r="E231" s="187"/>
      <c r="F231" s="187"/>
      <c r="G231" s="187"/>
      <c r="H231" s="187"/>
      <c r="I231" s="187"/>
      <c r="J231" s="187"/>
      <c r="K231" s="187"/>
      <c r="L231" s="187"/>
      <c r="M231" s="187"/>
      <c r="N231" s="187"/>
      <c r="O231" s="187"/>
      <c r="P231" s="187"/>
      <c r="Q231" s="187"/>
      <c r="R231" s="187"/>
      <c r="S231" s="188"/>
    </row>
    <row r="232" spans="2:19" ht="12.75">
      <c r="B232" s="185"/>
      <c r="C232" s="186"/>
      <c r="D232" s="187"/>
      <c r="E232" s="187"/>
      <c r="F232" s="187"/>
      <c r="G232" s="187"/>
      <c r="H232" s="187"/>
      <c r="I232" s="187"/>
      <c r="J232" s="187"/>
      <c r="K232" s="187"/>
      <c r="L232" s="187"/>
      <c r="M232" s="187"/>
      <c r="N232" s="187"/>
      <c r="O232" s="187"/>
      <c r="P232" s="187"/>
      <c r="Q232" s="187"/>
      <c r="R232" s="187"/>
      <c r="S232" s="188"/>
    </row>
    <row r="233" spans="2:19" ht="12.75">
      <c r="B233" s="185"/>
      <c r="C233" s="186"/>
      <c r="D233" s="187"/>
      <c r="E233" s="187"/>
      <c r="F233" s="187"/>
      <c r="G233" s="187"/>
      <c r="H233" s="187"/>
      <c r="I233" s="187"/>
      <c r="J233" s="187"/>
      <c r="K233" s="187"/>
      <c r="L233" s="187"/>
      <c r="M233" s="187"/>
      <c r="N233" s="187"/>
      <c r="O233" s="187"/>
      <c r="P233" s="187"/>
      <c r="Q233" s="187"/>
      <c r="R233" s="187"/>
      <c r="S233" s="188"/>
    </row>
    <row r="234" spans="2:19" ht="12.75">
      <c r="B234" s="185"/>
      <c r="C234" s="186"/>
      <c r="D234" s="187"/>
      <c r="E234" s="187"/>
      <c r="F234" s="187"/>
      <c r="G234" s="187"/>
      <c r="H234" s="187"/>
      <c r="I234" s="187"/>
      <c r="J234" s="187"/>
      <c r="K234" s="187"/>
      <c r="L234" s="187"/>
      <c r="M234" s="187"/>
      <c r="N234" s="187"/>
      <c r="O234" s="187"/>
      <c r="P234" s="187"/>
      <c r="Q234" s="187"/>
      <c r="R234" s="187"/>
      <c r="S234" s="188"/>
    </row>
    <row r="235" spans="2:19" ht="12.75">
      <c r="B235" s="185"/>
      <c r="C235" s="186"/>
      <c r="D235" s="187"/>
      <c r="E235" s="187"/>
      <c r="F235" s="187"/>
      <c r="G235" s="187"/>
      <c r="H235" s="187"/>
      <c r="I235" s="187"/>
      <c r="J235" s="187"/>
      <c r="K235" s="187"/>
      <c r="L235" s="187"/>
      <c r="M235" s="187"/>
      <c r="N235" s="187"/>
      <c r="O235" s="187"/>
      <c r="P235" s="187"/>
      <c r="Q235" s="187"/>
      <c r="R235" s="187"/>
      <c r="S235" s="188"/>
    </row>
    <row r="236" spans="2:19" ht="12.75">
      <c r="B236" s="185"/>
      <c r="C236" s="186"/>
      <c r="D236" s="187"/>
      <c r="E236" s="187"/>
      <c r="F236" s="187"/>
      <c r="G236" s="187"/>
      <c r="H236" s="187"/>
      <c r="I236" s="187"/>
      <c r="J236" s="187"/>
      <c r="K236" s="187"/>
      <c r="L236" s="187"/>
      <c r="M236" s="187"/>
      <c r="N236" s="187"/>
      <c r="O236" s="187"/>
      <c r="P236" s="187"/>
      <c r="Q236" s="187"/>
      <c r="R236" s="187"/>
      <c r="S236" s="188"/>
    </row>
    <row r="237" spans="2:19" ht="12.75">
      <c r="B237" s="185"/>
      <c r="C237" s="186"/>
      <c r="D237" s="187"/>
      <c r="E237" s="187"/>
      <c r="F237" s="187"/>
      <c r="G237" s="187"/>
      <c r="H237" s="187"/>
      <c r="I237" s="187"/>
      <c r="J237" s="187"/>
      <c r="K237" s="187"/>
      <c r="L237" s="187"/>
      <c r="M237" s="187"/>
      <c r="N237" s="187"/>
      <c r="O237" s="187"/>
      <c r="P237" s="187"/>
      <c r="Q237" s="187"/>
      <c r="R237" s="187"/>
      <c r="S237" s="188"/>
    </row>
    <row r="238" spans="2:19" ht="12.75">
      <c r="B238" s="185"/>
      <c r="C238" s="186"/>
      <c r="D238" s="187"/>
      <c r="E238" s="187"/>
      <c r="F238" s="187"/>
      <c r="G238" s="187"/>
      <c r="H238" s="187"/>
      <c r="I238" s="187"/>
      <c r="J238" s="187"/>
      <c r="K238" s="187"/>
      <c r="L238" s="187"/>
      <c r="M238" s="187"/>
      <c r="N238" s="187"/>
      <c r="O238" s="187"/>
      <c r="P238" s="187"/>
      <c r="Q238" s="187"/>
      <c r="R238" s="187"/>
      <c r="S238" s="188"/>
    </row>
    <row r="239" spans="2:19" ht="12.75">
      <c r="B239" s="185"/>
      <c r="C239" s="186"/>
      <c r="D239" s="187"/>
      <c r="E239" s="187"/>
      <c r="F239" s="187"/>
      <c r="G239" s="187"/>
      <c r="H239" s="187"/>
      <c r="I239" s="187"/>
      <c r="J239" s="187"/>
      <c r="K239" s="187"/>
      <c r="L239" s="187"/>
      <c r="M239" s="187"/>
      <c r="N239" s="187"/>
      <c r="O239" s="187"/>
      <c r="P239" s="187"/>
      <c r="Q239" s="187"/>
      <c r="R239" s="187"/>
      <c r="S239" s="188"/>
    </row>
    <row r="240" spans="2:19" ht="12.75">
      <c r="B240" s="185"/>
      <c r="C240" s="186"/>
      <c r="D240" s="187"/>
      <c r="E240" s="187"/>
      <c r="F240" s="187"/>
      <c r="G240" s="187"/>
      <c r="H240" s="187"/>
      <c r="I240" s="187"/>
      <c r="J240" s="187"/>
      <c r="K240" s="187"/>
      <c r="L240" s="187"/>
      <c r="M240" s="187"/>
      <c r="N240" s="187"/>
      <c r="O240" s="187"/>
      <c r="P240" s="187"/>
      <c r="Q240" s="187"/>
      <c r="R240" s="187"/>
      <c r="S240" s="188"/>
    </row>
    <row r="241" spans="2:19" ht="12.75">
      <c r="B241" s="185"/>
      <c r="C241" s="186"/>
      <c r="D241" s="187"/>
      <c r="E241" s="187"/>
      <c r="F241" s="187"/>
      <c r="G241" s="187"/>
      <c r="H241" s="187"/>
      <c r="I241" s="187"/>
      <c r="J241" s="187"/>
      <c r="K241" s="187"/>
      <c r="L241" s="187"/>
      <c r="M241" s="187"/>
      <c r="N241" s="187"/>
      <c r="O241" s="187"/>
      <c r="P241" s="187"/>
      <c r="Q241" s="187"/>
      <c r="R241" s="187"/>
      <c r="S241" s="188"/>
    </row>
    <row r="242" spans="2:19" ht="12.75">
      <c r="B242" s="185"/>
      <c r="C242" s="186"/>
      <c r="D242" s="187"/>
      <c r="E242" s="187"/>
      <c r="F242" s="187"/>
      <c r="G242" s="187"/>
      <c r="H242" s="187"/>
      <c r="I242" s="187"/>
      <c r="J242" s="187"/>
      <c r="K242" s="187"/>
      <c r="L242" s="187"/>
      <c r="M242" s="187"/>
      <c r="N242" s="187"/>
      <c r="O242" s="187"/>
      <c r="P242" s="187"/>
      <c r="Q242" s="187"/>
      <c r="R242" s="187"/>
      <c r="S242" s="188"/>
    </row>
    <row r="243" spans="2:19" ht="12.75">
      <c r="B243" s="185"/>
      <c r="C243" s="186"/>
      <c r="D243" s="187"/>
      <c r="E243" s="187"/>
      <c r="F243" s="187"/>
      <c r="G243" s="187"/>
      <c r="H243" s="187"/>
      <c r="I243" s="187"/>
      <c r="J243" s="187"/>
      <c r="K243" s="187"/>
      <c r="L243" s="187"/>
      <c r="M243" s="187"/>
      <c r="N243" s="187"/>
      <c r="O243" s="187"/>
      <c r="P243" s="187"/>
      <c r="Q243" s="187"/>
      <c r="R243" s="187"/>
      <c r="S243" s="188"/>
    </row>
    <row r="244" spans="2:19" ht="12.75">
      <c r="B244" s="185"/>
      <c r="C244" s="186"/>
      <c r="D244" s="187"/>
      <c r="E244" s="187"/>
      <c r="F244" s="187"/>
      <c r="G244" s="187"/>
      <c r="H244" s="187"/>
      <c r="I244" s="187"/>
      <c r="J244" s="187"/>
      <c r="K244" s="187"/>
      <c r="L244" s="187"/>
      <c r="M244" s="187"/>
      <c r="N244" s="187"/>
      <c r="O244" s="187"/>
      <c r="P244" s="187"/>
      <c r="Q244" s="187"/>
      <c r="R244" s="187"/>
      <c r="S244" s="188"/>
    </row>
    <row r="245" spans="2:19" ht="12.75">
      <c r="B245" s="185"/>
      <c r="C245" s="186"/>
      <c r="D245" s="187"/>
      <c r="E245" s="187"/>
      <c r="F245" s="187"/>
      <c r="G245" s="187"/>
      <c r="H245" s="187"/>
      <c r="I245" s="187"/>
      <c r="J245" s="187"/>
      <c r="K245" s="187"/>
      <c r="L245" s="187"/>
      <c r="M245" s="187"/>
      <c r="N245" s="187"/>
      <c r="O245" s="187"/>
      <c r="P245" s="187"/>
      <c r="Q245" s="187"/>
      <c r="R245" s="187"/>
      <c r="S245" s="188"/>
    </row>
    <row r="246" spans="2:19" ht="12.75">
      <c r="B246" s="185"/>
      <c r="C246" s="186"/>
      <c r="D246" s="187"/>
      <c r="E246" s="187"/>
      <c r="F246" s="187"/>
      <c r="G246" s="187"/>
      <c r="H246" s="187"/>
      <c r="I246" s="187"/>
      <c r="J246" s="187"/>
      <c r="K246" s="187"/>
      <c r="L246" s="187"/>
      <c r="M246" s="187"/>
      <c r="N246" s="187"/>
      <c r="O246" s="187"/>
      <c r="P246" s="187"/>
      <c r="Q246" s="187"/>
      <c r="R246" s="187"/>
      <c r="S246" s="188"/>
    </row>
    <row r="247" spans="2:19" ht="12.75">
      <c r="B247" s="185"/>
      <c r="C247" s="186"/>
      <c r="D247" s="187"/>
      <c r="E247" s="187"/>
      <c r="F247" s="187"/>
      <c r="G247" s="187"/>
      <c r="H247" s="187"/>
      <c r="I247" s="187"/>
      <c r="J247" s="187"/>
      <c r="K247" s="187"/>
      <c r="L247" s="187"/>
      <c r="M247" s="187"/>
      <c r="N247" s="187"/>
      <c r="O247" s="187"/>
      <c r="P247" s="187"/>
      <c r="Q247" s="187"/>
      <c r="R247" s="187"/>
      <c r="S247" s="188"/>
    </row>
    <row r="248" spans="2:19" ht="12.75">
      <c r="B248" s="185"/>
      <c r="C248" s="186"/>
      <c r="D248" s="187"/>
      <c r="E248" s="187"/>
      <c r="F248" s="187"/>
      <c r="G248" s="187"/>
      <c r="H248" s="187"/>
      <c r="I248" s="187"/>
      <c r="J248" s="187"/>
      <c r="K248" s="187"/>
      <c r="L248" s="187"/>
      <c r="M248" s="187"/>
      <c r="N248" s="187"/>
      <c r="O248" s="187"/>
      <c r="P248" s="187"/>
      <c r="Q248" s="187"/>
      <c r="R248" s="187"/>
      <c r="S248" s="188"/>
    </row>
    <row r="249" spans="2:19" ht="12.75">
      <c r="B249" s="185"/>
      <c r="C249" s="186"/>
      <c r="D249" s="187"/>
      <c r="E249" s="187"/>
      <c r="F249" s="187"/>
      <c r="G249" s="187"/>
      <c r="H249" s="187"/>
      <c r="I249" s="187"/>
      <c r="J249" s="187"/>
      <c r="K249" s="187"/>
      <c r="L249" s="187"/>
      <c r="M249" s="187"/>
      <c r="N249" s="187"/>
      <c r="O249" s="187"/>
      <c r="P249" s="187"/>
      <c r="Q249" s="187"/>
      <c r="R249" s="187"/>
      <c r="S249" s="188"/>
    </row>
    <row r="250" spans="2:19" ht="12.75">
      <c r="B250" s="185"/>
      <c r="C250" s="186"/>
      <c r="D250" s="187"/>
      <c r="E250" s="187"/>
      <c r="F250" s="187"/>
      <c r="G250" s="187"/>
      <c r="H250" s="187"/>
      <c r="I250" s="187"/>
      <c r="J250" s="187"/>
      <c r="K250" s="187"/>
      <c r="L250" s="187"/>
      <c r="M250" s="187"/>
      <c r="N250" s="187"/>
      <c r="O250" s="187"/>
      <c r="P250" s="187"/>
      <c r="Q250" s="187"/>
      <c r="R250" s="187"/>
      <c r="S250" s="188"/>
    </row>
    <row r="251" spans="2:19" ht="12.75">
      <c r="B251" s="185"/>
      <c r="C251" s="186"/>
      <c r="D251" s="187"/>
      <c r="E251" s="187"/>
      <c r="F251" s="187"/>
      <c r="G251" s="187"/>
      <c r="H251" s="187"/>
      <c r="I251" s="187"/>
      <c r="J251" s="187"/>
      <c r="K251" s="187"/>
      <c r="L251" s="187"/>
      <c r="M251" s="187"/>
      <c r="N251" s="187"/>
      <c r="O251" s="187"/>
      <c r="P251" s="187"/>
      <c r="Q251" s="187"/>
      <c r="R251" s="187"/>
      <c r="S251" s="188"/>
    </row>
    <row r="252" spans="2:19" ht="12.75">
      <c r="B252" s="185"/>
      <c r="C252" s="186"/>
      <c r="D252" s="187"/>
      <c r="E252" s="187"/>
      <c r="F252" s="187"/>
      <c r="G252" s="187"/>
      <c r="H252" s="187"/>
      <c r="I252" s="187"/>
      <c r="J252" s="187"/>
      <c r="K252" s="187"/>
      <c r="L252" s="187"/>
      <c r="M252" s="187"/>
      <c r="N252" s="187"/>
      <c r="O252" s="187"/>
      <c r="P252" s="187"/>
      <c r="Q252" s="187"/>
      <c r="R252" s="187"/>
      <c r="S252" s="188"/>
    </row>
    <row r="253" spans="2:19" ht="12.75">
      <c r="B253" s="185"/>
      <c r="C253" s="186"/>
      <c r="D253" s="187"/>
      <c r="E253" s="187"/>
      <c r="F253" s="187"/>
      <c r="G253" s="187"/>
      <c r="H253" s="187"/>
      <c r="I253" s="187"/>
      <c r="J253" s="187"/>
      <c r="K253" s="187"/>
      <c r="L253" s="187"/>
      <c r="M253" s="187"/>
      <c r="N253" s="187"/>
      <c r="O253" s="187"/>
      <c r="P253" s="187"/>
      <c r="Q253" s="187"/>
      <c r="R253" s="187"/>
      <c r="S253" s="188"/>
    </row>
    <row r="254" spans="2:19" ht="12.75">
      <c r="B254" s="185"/>
      <c r="C254" s="186"/>
      <c r="D254" s="187"/>
      <c r="E254" s="187"/>
      <c r="F254" s="187"/>
      <c r="G254" s="187"/>
      <c r="H254" s="187"/>
      <c r="I254" s="187"/>
      <c r="J254" s="187"/>
      <c r="K254" s="187"/>
      <c r="L254" s="187"/>
      <c r="M254" s="187"/>
      <c r="N254" s="187"/>
      <c r="O254" s="187"/>
      <c r="P254" s="187"/>
      <c r="Q254" s="187"/>
      <c r="R254" s="187"/>
      <c r="S254" s="188"/>
    </row>
    <row r="255" spans="2:19" ht="12.75">
      <c r="B255" s="185"/>
      <c r="C255" s="186"/>
      <c r="D255" s="187"/>
      <c r="E255" s="187"/>
      <c r="F255" s="187"/>
      <c r="G255" s="187"/>
      <c r="H255" s="187"/>
      <c r="I255" s="187"/>
      <c r="J255" s="187"/>
      <c r="K255" s="187"/>
      <c r="L255" s="187"/>
      <c r="M255" s="187"/>
      <c r="N255" s="187"/>
      <c r="O255" s="187"/>
      <c r="P255" s="187"/>
      <c r="Q255" s="187"/>
      <c r="R255" s="187"/>
      <c r="S255" s="188"/>
    </row>
    <row r="256" spans="2:19" ht="12.75">
      <c r="B256" s="185"/>
      <c r="C256" s="186"/>
      <c r="D256" s="187"/>
      <c r="E256" s="187"/>
      <c r="F256" s="187"/>
      <c r="G256" s="187"/>
      <c r="H256" s="187"/>
      <c r="I256" s="187"/>
      <c r="J256" s="187"/>
      <c r="K256" s="187"/>
      <c r="L256" s="187"/>
      <c r="M256" s="187"/>
      <c r="N256" s="187"/>
      <c r="O256" s="187"/>
      <c r="P256" s="187"/>
      <c r="Q256" s="187"/>
      <c r="R256" s="187"/>
      <c r="S256" s="188"/>
    </row>
    <row r="257" spans="2:19" ht="12.75">
      <c r="B257" s="185"/>
      <c r="C257" s="186"/>
      <c r="D257" s="187"/>
      <c r="E257" s="187"/>
      <c r="F257" s="187"/>
      <c r="G257" s="187"/>
      <c r="H257" s="187"/>
      <c r="I257" s="187"/>
      <c r="J257" s="187"/>
      <c r="K257" s="187"/>
      <c r="L257" s="187"/>
      <c r="M257" s="187"/>
      <c r="N257" s="187"/>
      <c r="O257" s="187"/>
      <c r="P257" s="187"/>
      <c r="Q257" s="187"/>
      <c r="R257" s="187"/>
      <c r="S257" s="188"/>
    </row>
    <row r="258" spans="2:19" ht="12.75">
      <c r="B258" s="185"/>
      <c r="C258" s="186"/>
      <c r="D258" s="187"/>
      <c r="E258" s="187"/>
      <c r="F258" s="187"/>
      <c r="G258" s="187"/>
      <c r="H258" s="187"/>
      <c r="I258" s="187"/>
      <c r="J258" s="187"/>
      <c r="K258" s="187"/>
      <c r="L258" s="187"/>
      <c r="M258" s="187"/>
      <c r="N258" s="187"/>
      <c r="O258" s="187"/>
      <c r="P258" s="187"/>
      <c r="Q258" s="187"/>
      <c r="R258" s="187"/>
      <c r="S258" s="188"/>
    </row>
    <row r="259" spans="2:19" ht="12.75">
      <c r="B259" s="185"/>
      <c r="C259" s="186"/>
      <c r="D259" s="187"/>
      <c r="E259" s="187"/>
      <c r="F259" s="187"/>
      <c r="G259" s="187"/>
      <c r="H259" s="187"/>
      <c r="I259" s="187"/>
      <c r="J259" s="187"/>
      <c r="K259" s="187"/>
      <c r="L259" s="187"/>
      <c r="M259" s="187"/>
      <c r="N259" s="187"/>
      <c r="O259" s="187"/>
      <c r="P259" s="187"/>
      <c r="Q259" s="187"/>
      <c r="R259" s="187"/>
      <c r="S259" s="188"/>
    </row>
    <row r="260" spans="2:19" ht="12.75">
      <c r="B260" s="185"/>
      <c r="C260" s="186"/>
      <c r="D260" s="187"/>
      <c r="E260" s="187"/>
      <c r="F260" s="187"/>
      <c r="G260" s="187"/>
      <c r="H260" s="187"/>
      <c r="I260" s="187"/>
      <c r="J260" s="187"/>
      <c r="K260" s="187"/>
      <c r="L260" s="187"/>
      <c r="M260" s="187"/>
      <c r="N260" s="187"/>
      <c r="O260" s="187"/>
      <c r="P260" s="187"/>
      <c r="Q260" s="187"/>
      <c r="R260" s="187"/>
      <c r="S260" s="188"/>
    </row>
    <row r="261" spans="2:19" ht="12.75">
      <c r="B261" s="185"/>
      <c r="C261" s="186"/>
      <c r="D261" s="187"/>
      <c r="E261" s="187"/>
      <c r="F261" s="187"/>
      <c r="G261" s="187"/>
      <c r="H261" s="187"/>
      <c r="I261" s="187"/>
      <c r="J261" s="187"/>
      <c r="K261" s="187"/>
      <c r="L261" s="187"/>
      <c r="M261" s="187"/>
      <c r="N261" s="187"/>
      <c r="O261" s="187"/>
      <c r="P261" s="187"/>
      <c r="Q261" s="187"/>
      <c r="R261" s="187"/>
      <c r="S261" s="188"/>
    </row>
    <row r="262" spans="2:19" ht="12.75">
      <c r="B262" s="185"/>
      <c r="C262" s="186"/>
      <c r="D262" s="187"/>
      <c r="E262" s="187"/>
      <c r="F262" s="187"/>
      <c r="G262" s="187"/>
      <c r="H262" s="187"/>
      <c r="I262" s="187"/>
      <c r="J262" s="187"/>
      <c r="K262" s="187"/>
      <c r="L262" s="187"/>
      <c r="M262" s="187"/>
      <c r="N262" s="187"/>
      <c r="O262" s="187"/>
      <c r="P262" s="187"/>
      <c r="Q262" s="187"/>
      <c r="R262" s="187"/>
      <c r="S262" s="188"/>
    </row>
    <row r="263" spans="2:19" ht="12.75">
      <c r="B263" s="185"/>
      <c r="C263" s="186"/>
      <c r="D263" s="187"/>
      <c r="E263" s="187"/>
      <c r="F263" s="187"/>
      <c r="G263" s="187"/>
      <c r="H263" s="187"/>
      <c r="I263" s="187"/>
      <c r="J263" s="187"/>
      <c r="K263" s="187"/>
      <c r="L263" s="187"/>
      <c r="M263" s="187"/>
      <c r="N263" s="187"/>
      <c r="O263" s="187"/>
      <c r="P263" s="187"/>
      <c r="Q263" s="187"/>
      <c r="R263" s="187"/>
      <c r="S263" s="188"/>
    </row>
    <row r="264" spans="2:19" ht="12.75">
      <c r="B264" s="185"/>
      <c r="C264" s="186"/>
      <c r="D264" s="187"/>
      <c r="E264" s="187"/>
      <c r="F264" s="187"/>
      <c r="G264" s="187"/>
      <c r="H264" s="187"/>
      <c r="I264" s="187"/>
      <c r="J264" s="187"/>
      <c r="K264" s="187"/>
      <c r="L264" s="187"/>
      <c r="M264" s="187"/>
      <c r="N264" s="187"/>
      <c r="O264" s="187"/>
      <c r="P264" s="187"/>
      <c r="Q264" s="187"/>
      <c r="R264" s="187"/>
      <c r="S264" s="188"/>
    </row>
    <row r="265" spans="2:19" ht="12.75">
      <c r="B265" s="185"/>
      <c r="C265" s="186"/>
      <c r="D265" s="187"/>
      <c r="E265" s="187"/>
      <c r="F265" s="187"/>
      <c r="G265" s="187"/>
      <c r="H265" s="187"/>
      <c r="I265" s="187"/>
      <c r="J265" s="187"/>
      <c r="K265" s="187"/>
      <c r="L265" s="187"/>
      <c r="M265" s="187"/>
      <c r="N265" s="187"/>
      <c r="O265" s="187"/>
      <c r="P265" s="187"/>
      <c r="Q265" s="187"/>
      <c r="R265" s="187"/>
      <c r="S265" s="188"/>
    </row>
    <row r="266" spans="2:19" ht="12.75">
      <c r="B266" s="185"/>
      <c r="C266" s="186"/>
      <c r="D266" s="187"/>
      <c r="E266" s="187"/>
      <c r="F266" s="187"/>
      <c r="G266" s="187"/>
      <c r="H266" s="187"/>
      <c r="I266" s="187"/>
      <c r="J266" s="187"/>
      <c r="K266" s="187"/>
      <c r="L266" s="187"/>
      <c r="M266" s="187"/>
      <c r="N266" s="187"/>
      <c r="O266" s="187"/>
      <c r="P266" s="187"/>
      <c r="Q266" s="187"/>
      <c r="R266" s="187"/>
      <c r="S266" s="188"/>
    </row>
    <row r="267" spans="2:19" ht="12.75">
      <c r="B267" s="185"/>
      <c r="C267" s="186"/>
      <c r="D267" s="187"/>
      <c r="E267" s="187"/>
      <c r="F267" s="187"/>
      <c r="G267" s="187"/>
      <c r="H267" s="187"/>
      <c r="I267" s="187"/>
      <c r="J267" s="187"/>
      <c r="K267" s="187"/>
      <c r="L267" s="187"/>
      <c r="M267" s="187"/>
      <c r="N267" s="187"/>
      <c r="O267" s="187"/>
      <c r="P267" s="187"/>
      <c r="Q267" s="187"/>
      <c r="R267" s="187"/>
      <c r="S267" s="188"/>
    </row>
    <row r="268" spans="2:19" ht="12.75">
      <c r="B268" s="185"/>
      <c r="C268" s="186"/>
      <c r="D268" s="187"/>
      <c r="E268" s="187"/>
      <c r="F268" s="187"/>
      <c r="G268" s="187"/>
      <c r="H268" s="187"/>
      <c r="I268" s="187"/>
      <c r="J268" s="187"/>
      <c r="K268" s="187"/>
      <c r="L268" s="187"/>
      <c r="M268" s="187"/>
      <c r="N268" s="187"/>
      <c r="O268" s="187"/>
      <c r="P268" s="187"/>
      <c r="Q268" s="187"/>
      <c r="R268" s="187"/>
      <c r="S268" s="188"/>
    </row>
    <row r="269" spans="2:19" ht="12.75">
      <c r="B269" s="185"/>
      <c r="C269" s="186"/>
      <c r="D269" s="187"/>
      <c r="E269" s="187"/>
      <c r="F269" s="187"/>
      <c r="G269" s="187"/>
      <c r="H269" s="187"/>
      <c r="I269" s="187"/>
      <c r="J269" s="187"/>
      <c r="K269" s="187"/>
      <c r="L269" s="187"/>
      <c r="M269" s="187"/>
      <c r="N269" s="187"/>
      <c r="O269" s="187"/>
      <c r="P269" s="187"/>
      <c r="Q269" s="187"/>
      <c r="R269" s="187"/>
      <c r="S269" s="188"/>
    </row>
    <row r="270" spans="2:19" ht="12.75">
      <c r="B270" s="185"/>
      <c r="C270" s="186"/>
      <c r="D270" s="187"/>
      <c r="E270" s="187"/>
      <c r="F270" s="187"/>
      <c r="G270" s="187"/>
      <c r="H270" s="187"/>
      <c r="I270" s="187"/>
      <c r="J270" s="187"/>
      <c r="K270" s="187"/>
      <c r="L270" s="187"/>
      <c r="M270" s="187"/>
      <c r="N270" s="187"/>
      <c r="O270" s="187"/>
      <c r="P270" s="187"/>
      <c r="Q270" s="187"/>
      <c r="R270" s="187"/>
      <c r="S270" s="188"/>
    </row>
    <row r="271" spans="2:19" ht="12.75">
      <c r="B271" s="185"/>
      <c r="C271" s="186"/>
      <c r="D271" s="187"/>
      <c r="E271" s="187"/>
      <c r="F271" s="187"/>
      <c r="G271" s="187"/>
      <c r="H271" s="187"/>
      <c r="I271" s="187"/>
      <c r="J271" s="187"/>
      <c r="K271" s="187"/>
      <c r="L271" s="187"/>
      <c r="M271" s="187"/>
      <c r="N271" s="187"/>
      <c r="O271" s="187"/>
      <c r="P271" s="187"/>
      <c r="Q271" s="187"/>
      <c r="R271" s="187"/>
      <c r="S271" s="188"/>
    </row>
    <row r="272" spans="2:19" ht="12.75">
      <c r="B272" s="185"/>
      <c r="C272" s="186"/>
      <c r="D272" s="187"/>
      <c r="E272" s="187"/>
      <c r="F272" s="187"/>
      <c r="G272" s="187"/>
      <c r="H272" s="187"/>
      <c r="I272" s="187"/>
      <c r="J272" s="187"/>
      <c r="K272" s="187"/>
      <c r="L272" s="187"/>
      <c r="M272" s="187"/>
      <c r="N272" s="187"/>
      <c r="O272" s="187"/>
      <c r="P272" s="187"/>
      <c r="Q272" s="187"/>
      <c r="R272" s="187"/>
      <c r="S272" s="188"/>
    </row>
    <row r="273" spans="2:19" ht="12.75">
      <c r="B273" s="185"/>
      <c r="C273" s="186"/>
      <c r="D273" s="187"/>
      <c r="E273" s="187"/>
      <c r="F273" s="187"/>
      <c r="G273" s="187"/>
      <c r="H273" s="187"/>
      <c r="I273" s="187"/>
      <c r="J273" s="187"/>
      <c r="K273" s="187"/>
      <c r="L273" s="187"/>
      <c r="M273" s="187"/>
      <c r="N273" s="187"/>
      <c r="O273" s="187"/>
      <c r="P273" s="187"/>
      <c r="Q273" s="187"/>
      <c r="R273" s="187"/>
      <c r="S273" s="188"/>
    </row>
    <row r="274" spans="2:19" ht="12.75">
      <c r="B274" s="185"/>
      <c r="C274" s="186"/>
      <c r="D274" s="187"/>
      <c r="E274" s="187"/>
      <c r="F274" s="187"/>
      <c r="G274" s="187"/>
      <c r="H274" s="187"/>
      <c r="I274" s="187"/>
      <c r="J274" s="187"/>
      <c r="K274" s="187"/>
      <c r="L274" s="187"/>
      <c r="M274" s="187"/>
      <c r="N274" s="187"/>
      <c r="O274" s="187"/>
      <c r="P274" s="187"/>
      <c r="Q274" s="187"/>
      <c r="R274" s="187"/>
      <c r="S274" s="188"/>
    </row>
    <row r="275" spans="2:19" ht="12.75">
      <c r="B275" s="185"/>
      <c r="C275" s="186"/>
      <c r="D275" s="187"/>
      <c r="E275" s="187"/>
      <c r="F275" s="187"/>
      <c r="G275" s="187"/>
      <c r="H275" s="187"/>
      <c r="I275" s="187"/>
      <c r="J275" s="187"/>
      <c r="K275" s="187"/>
      <c r="L275" s="187"/>
      <c r="M275" s="187"/>
      <c r="N275" s="187"/>
      <c r="O275" s="187"/>
      <c r="P275" s="187"/>
      <c r="Q275" s="187"/>
      <c r="R275" s="187"/>
      <c r="S275" s="188"/>
    </row>
    <row r="276" spans="2:19" ht="12.75">
      <c r="B276" s="185"/>
      <c r="C276" s="186"/>
      <c r="D276" s="187"/>
      <c r="E276" s="187"/>
      <c r="F276" s="187"/>
      <c r="G276" s="187"/>
      <c r="H276" s="187"/>
      <c r="I276" s="187"/>
      <c r="J276" s="187"/>
      <c r="K276" s="187"/>
      <c r="L276" s="187"/>
      <c r="M276" s="187"/>
      <c r="N276" s="187"/>
      <c r="O276" s="187"/>
      <c r="P276" s="187"/>
      <c r="Q276" s="187"/>
      <c r="R276" s="187"/>
      <c r="S276" s="188"/>
    </row>
    <row r="277" spans="2:19" ht="12.75">
      <c r="B277" s="185"/>
      <c r="C277" s="186"/>
      <c r="D277" s="187"/>
      <c r="E277" s="187"/>
      <c r="F277" s="187"/>
      <c r="G277" s="187"/>
      <c r="H277" s="187"/>
      <c r="I277" s="187"/>
      <c r="J277" s="187"/>
      <c r="K277" s="187"/>
      <c r="L277" s="187"/>
      <c r="M277" s="187"/>
      <c r="N277" s="187"/>
      <c r="O277" s="187"/>
      <c r="P277" s="187"/>
      <c r="Q277" s="187"/>
      <c r="R277" s="187"/>
      <c r="S277" s="188"/>
    </row>
    <row r="278" spans="2:19" ht="12.75">
      <c r="B278" s="185"/>
      <c r="C278" s="186"/>
      <c r="D278" s="187"/>
      <c r="E278" s="187"/>
      <c r="F278" s="187"/>
      <c r="G278" s="187"/>
      <c r="H278" s="187"/>
      <c r="I278" s="187"/>
      <c r="J278" s="187"/>
      <c r="K278" s="187"/>
      <c r="L278" s="187"/>
      <c r="M278" s="187"/>
      <c r="N278" s="187"/>
      <c r="O278" s="187"/>
      <c r="P278" s="187"/>
      <c r="Q278" s="187"/>
      <c r="R278" s="187"/>
      <c r="S278" s="188"/>
    </row>
    <row r="279" spans="2:19" ht="12.75">
      <c r="B279" s="185"/>
      <c r="C279" s="186"/>
      <c r="D279" s="187"/>
      <c r="E279" s="187"/>
      <c r="F279" s="187"/>
      <c r="G279" s="187"/>
      <c r="H279" s="187"/>
      <c r="I279" s="187"/>
      <c r="J279" s="187"/>
      <c r="K279" s="187"/>
      <c r="L279" s="187"/>
      <c r="M279" s="187"/>
      <c r="N279" s="187"/>
      <c r="O279" s="187"/>
      <c r="P279" s="187"/>
      <c r="Q279" s="187"/>
      <c r="R279" s="187"/>
      <c r="S279" s="188"/>
    </row>
    <row r="280" spans="2:19" ht="12.75">
      <c r="B280" s="185"/>
      <c r="C280" s="186"/>
      <c r="D280" s="187"/>
      <c r="E280" s="187"/>
      <c r="F280" s="187"/>
      <c r="G280" s="187"/>
      <c r="H280" s="187"/>
      <c r="I280" s="187"/>
      <c r="J280" s="187"/>
      <c r="K280" s="187"/>
      <c r="L280" s="187"/>
      <c r="M280" s="187"/>
      <c r="N280" s="187"/>
      <c r="O280" s="187"/>
      <c r="P280" s="187"/>
      <c r="Q280" s="187"/>
      <c r="R280" s="187"/>
      <c r="S280" s="188"/>
    </row>
    <row r="281" spans="2:19" ht="12.75">
      <c r="B281" s="185"/>
      <c r="C281" s="186"/>
      <c r="D281" s="187"/>
      <c r="E281" s="187"/>
      <c r="F281" s="187"/>
      <c r="G281" s="187"/>
      <c r="H281" s="187"/>
      <c r="I281" s="187"/>
      <c r="J281" s="187"/>
      <c r="K281" s="187"/>
      <c r="L281" s="187"/>
      <c r="M281" s="187"/>
      <c r="N281" s="187"/>
      <c r="O281" s="187"/>
      <c r="P281" s="187"/>
      <c r="Q281" s="187"/>
      <c r="R281" s="187"/>
      <c r="S281" s="188"/>
    </row>
    <row r="282" spans="2:19" ht="12.75">
      <c r="B282" s="185"/>
      <c r="C282" s="186"/>
      <c r="D282" s="187"/>
      <c r="E282" s="187"/>
      <c r="F282" s="187"/>
      <c r="G282" s="187"/>
      <c r="H282" s="187"/>
      <c r="I282" s="187"/>
      <c r="J282" s="187"/>
      <c r="K282" s="187"/>
      <c r="L282" s="187"/>
      <c r="M282" s="187"/>
      <c r="N282" s="187"/>
      <c r="O282" s="187"/>
      <c r="P282" s="187"/>
      <c r="Q282" s="187"/>
      <c r="R282" s="187"/>
      <c r="S282" s="188"/>
    </row>
    <row r="283" spans="2:19" ht="12.75">
      <c r="B283" s="185"/>
      <c r="C283" s="186"/>
      <c r="D283" s="187"/>
      <c r="E283" s="187"/>
      <c r="F283" s="187"/>
      <c r="G283" s="187"/>
      <c r="H283" s="187"/>
      <c r="I283" s="187"/>
      <c r="J283" s="187"/>
      <c r="K283" s="187"/>
      <c r="L283" s="187"/>
      <c r="M283" s="187"/>
      <c r="N283" s="187"/>
      <c r="O283" s="187"/>
      <c r="P283" s="187"/>
      <c r="Q283" s="187"/>
      <c r="R283" s="187"/>
      <c r="S283" s="188"/>
    </row>
    <row r="284" spans="2:19" ht="12.75">
      <c r="B284" s="185"/>
      <c r="C284" s="186"/>
      <c r="D284" s="187"/>
      <c r="E284" s="187"/>
      <c r="F284" s="187"/>
      <c r="G284" s="187"/>
      <c r="H284" s="187"/>
      <c r="I284" s="187"/>
      <c r="J284" s="187"/>
      <c r="K284" s="187"/>
      <c r="L284" s="187"/>
      <c r="M284" s="187"/>
      <c r="N284" s="187"/>
      <c r="O284" s="187"/>
      <c r="P284" s="187"/>
      <c r="Q284" s="187"/>
      <c r="R284" s="187"/>
      <c r="S284" s="188"/>
    </row>
    <row r="285" spans="2:19" ht="12.75">
      <c r="B285" s="185"/>
      <c r="C285" s="186"/>
      <c r="D285" s="187"/>
      <c r="E285" s="187"/>
      <c r="F285" s="187"/>
      <c r="G285" s="187"/>
      <c r="H285" s="187"/>
      <c r="I285" s="187"/>
      <c r="J285" s="187"/>
      <c r="K285" s="187"/>
      <c r="L285" s="187"/>
      <c r="M285" s="187"/>
      <c r="N285" s="187"/>
      <c r="O285" s="187"/>
      <c r="P285" s="187"/>
      <c r="Q285" s="187"/>
      <c r="R285" s="187"/>
      <c r="S285" s="188"/>
    </row>
    <row r="286" spans="2:19" ht="12.75">
      <c r="B286" s="185"/>
      <c r="C286" s="186"/>
      <c r="D286" s="187"/>
      <c r="E286" s="187"/>
      <c r="F286" s="187"/>
      <c r="G286" s="187"/>
      <c r="H286" s="187"/>
      <c r="I286" s="187"/>
      <c r="J286" s="187"/>
      <c r="K286" s="187"/>
      <c r="L286" s="187"/>
      <c r="M286" s="187"/>
      <c r="N286" s="187"/>
      <c r="O286" s="187"/>
      <c r="P286" s="187"/>
      <c r="Q286" s="187"/>
      <c r="R286" s="187"/>
      <c r="S286" s="188"/>
    </row>
    <row r="287" spans="2:19" ht="12.75">
      <c r="B287" s="185"/>
      <c r="C287" s="186"/>
      <c r="D287" s="187"/>
      <c r="E287" s="187"/>
      <c r="F287" s="187"/>
      <c r="G287" s="187"/>
      <c r="H287" s="187"/>
      <c r="I287" s="187"/>
      <c r="J287" s="187"/>
      <c r="K287" s="187"/>
      <c r="L287" s="187"/>
      <c r="M287" s="187"/>
      <c r="N287" s="187"/>
      <c r="O287" s="187"/>
      <c r="P287" s="187"/>
      <c r="Q287" s="187"/>
      <c r="R287" s="187"/>
      <c r="S287" s="188"/>
    </row>
    <row r="288" spans="2:19" ht="12.75">
      <c r="B288" s="185"/>
      <c r="C288" s="186"/>
      <c r="D288" s="187"/>
      <c r="E288" s="187"/>
      <c r="F288" s="187"/>
      <c r="G288" s="187"/>
      <c r="H288" s="187"/>
      <c r="I288" s="187"/>
      <c r="J288" s="187"/>
      <c r="K288" s="187"/>
      <c r="L288" s="187"/>
      <c r="M288" s="187"/>
      <c r="N288" s="187"/>
      <c r="O288" s="187"/>
      <c r="P288" s="187"/>
      <c r="Q288" s="187"/>
      <c r="R288" s="187"/>
      <c r="S288" s="188"/>
    </row>
    <row r="289" spans="2:19" ht="12.75">
      <c r="B289" s="185"/>
      <c r="C289" s="186"/>
      <c r="D289" s="187"/>
      <c r="E289" s="187"/>
      <c r="F289" s="187"/>
      <c r="G289" s="187"/>
      <c r="H289" s="187"/>
      <c r="I289" s="187"/>
      <c r="J289" s="187"/>
      <c r="K289" s="187"/>
      <c r="L289" s="187"/>
      <c r="M289" s="187"/>
      <c r="N289" s="187"/>
      <c r="O289" s="187"/>
      <c r="P289" s="187"/>
      <c r="Q289" s="187"/>
      <c r="R289" s="187"/>
      <c r="S289" s="188"/>
    </row>
    <row r="290" spans="2:19" ht="12.75">
      <c r="B290" s="185"/>
      <c r="C290" s="186"/>
      <c r="D290" s="187"/>
      <c r="E290" s="187"/>
      <c r="F290" s="187"/>
      <c r="G290" s="187"/>
      <c r="H290" s="187"/>
      <c r="I290" s="187"/>
      <c r="J290" s="187"/>
      <c r="K290" s="187"/>
      <c r="L290" s="187"/>
      <c r="M290" s="187"/>
      <c r="N290" s="187"/>
      <c r="O290" s="187"/>
      <c r="P290" s="187"/>
      <c r="Q290" s="187"/>
      <c r="R290" s="187"/>
      <c r="S290" s="188"/>
    </row>
    <row r="291" spans="2:19" ht="12.75">
      <c r="B291" s="185"/>
      <c r="C291" s="186"/>
      <c r="D291" s="187"/>
      <c r="E291" s="187"/>
      <c r="F291" s="187"/>
      <c r="G291" s="187"/>
      <c r="H291" s="187"/>
      <c r="I291" s="187"/>
      <c r="J291" s="187"/>
      <c r="K291" s="187"/>
      <c r="L291" s="187"/>
      <c r="M291" s="187"/>
      <c r="N291" s="187"/>
      <c r="O291" s="187"/>
      <c r="P291" s="187"/>
      <c r="Q291" s="187"/>
      <c r="R291" s="187"/>
      <c r="S291" s="188"/>
    </row>
    <row r="292" spans="2:19" ht="12.75">
      <c r="B292" s="185"/>
      <c r="C292" s="186"/>
      <c r="D292" s="187"/>
      <c r="E292" s="187"/>
      <c r="F292" s="187"/>
      <c r="G292" s="187"/>
      <c r="H292" s="187"/>
      <c r="I292" s="187"/>
      <c r="J292" s="187"/>
      <c r="K292" s="187"/>
      <c r="L292" s="187"/>
      <c r="M292" s="187"/>
      <c r="N292" s="187"/>
      <c r="O292" s="187"/>
      <c r="P292" s="187"/>
      <c r="Q292" s="187"/>
      <c r="R292" s="187"/>
      <c r="S292" s="188"/>
    </row>
    <row r="293" spans="2:19" ht="12.75">
      <c r="B293" s="185"/>
      <c r="C293" s="186"/>
      <c r="D293" s="187"/>
      <c r="E293" s="187"/>
      <c r="F293" s="187"/>
      <c r="G293" s="187"/>
      <c r="H293" s="187"/>
      <c r="I293" s="187"/>
      <c r="J293" s="187"/>
      <c r="K293" s="187"/>
      <c r="L293" s="187"/>
      <c r="M293" s="187"/>
      <c r="N293" s="187"/>
      <c r="O293" s="187"/>
      <c r="P293" s="187"/>
      <c r="Q293" s="187"/>
      <c r="R293" s="187"/>
      <c r="S293" s="188"/>
    </row>
    <row r="294" spans="2:19" ht="12.75">
      <c r="B294" s="185"/>
      <c r="C294" s="186"/>
      <c r="D294" s="187"/>
      <c r="E294" s="187"/>
      <c r="F294" s="187"/>
      <c r="G294" s="187"/>
      <c r="H294" s="187"/>
      <c r="I294" s="187"/>
      <c r="J294" s="187"/>
      <c r="K294" s="187"/>
      <c r="L294" s="187"/>
      <c r="M294" s="187"/>
      <c r="N294" s="187"/>
      <c r="O294" s="187"/>
      <c r="P294" s="187"/>
      <c r="Q294" s="187"/>
      <c r="R294" s="187"/>
      <c r="S294" s="188"/>
    </row>
    <row r="295" spans="2:19" ht="12.75">
      <c r="B295" s="185"/>
      <c r="C295" s="186"/>
      <c r="D295" s="187"/>
      <c r="E295" s="187"/>
      <c r="F295" s="187"/>
      <c r="G295" s="187"/>
      <c r="H295" s="187"/>
      <c r="I295" s="187"/>
      <c r="J295" s="187"/>
      <c r="K295" s="187"/>
      <c r="L295" s="187"/>
      <c r="M295" s="187"/>
      <c r="N295" s="187"/>
      <c r="O295" s="187"/>
      <c r="P295" s="187"/>
      <c r="Q295" s="187"/>
      <c r="R295" s="187"/>
      <c r="S295" s="188"/>
    </row>
    <row r="296" spans="2:19" ht="12.75">
      <c r="B296" s="185"/>
      <c r="C296" s="186"/>
      <c r="D296" s="187"/>
      <c r="E296" s="187"/>
      <c r="F296" s="187"/>
      <c r="G296" s="187"/>
      <c r="H296" s="187"/>
      <c r="I296" s="187"/>
      <c r="J296" s="187"/>
      <c r="K296" s="187"/>
      <c r="L296" s="187"/>
      <c r="M296" s="187"/>
      <c r="N296" s="187"/>
      <c r="O296" s="187"/>
      <c r="P296" s="187"/>
      <c r="Q296" s="187"/>
      <c r="R296" s="187"/>
      <c r="S296" s="188"/>
    </row>
    <row r="297" spans="2:19" ht="12.75">
      <c r="B297" s="185"/>
      <c r="C297" s="186"/>
      <c r="D297" s="187"/>
      <c r="E297" s="187"/>
      <c r="F297" s="187"/>
      <c r="G297" s="187"/>
      <c r="H297" s="187"/>
      <c r="I297" s="187"/>
      <c r="J297" s="187"/>
      <c r="K297" s="187"/>
      <c r="L297" s="187"/>
      <c r="M297" s="187"/>
      <c r="N297" s="187"/>
      <c r="O297" s="187"/>
      <c r="P297" s="187"/>
      <c r="Q297" s="187"/>
      <c r="R297" s="187"/>
      <c r="S297" s="188"/>
    </row>
    <row r="298" spans="2:19" ht="12.75">
      <c r="B298" s="185"/>
      <c r="C298" s="186"/>
      <c r="D298" s="187"/>
      <c r="E298" s="187"/>
      <c r="F298" s="187"/>
      <c r="G298" s="187"/>
      <c r="H298" s="187"/>
      <c r="I298" s="187"/>
      <c r="J298" s="187"/>
      <c r="K298" s="187"/>
      <c r="L298" s="187"/>
      <c r="M298" s="187"/>
      <c r="N298" s="187"/>
      <c r="O298" s="187"/>
      <c r="P298" s="187"/>
      <c r="Q298" s="187"/>
      <c r="R298" s="187"/>
      <c r="S298" s="188"/>
    </row>
    <row r="299" spans="2:19" ht="12.75">
      <c r="B299" s="185"/>
      <c r="C299" s="186"/>
      <c r="D299" s="187"/>
      <c r="E299" s="187"/>
      <c r="F299" s="187"/>
      <c r="G299" s="187"/>
      <c r="H299" s="187"/>
      <c r="I299" s="187"/>
      <c r="J299" s="187"/>
      <c r="K299" s="187"/>
      <c r="L299" s="187"/>
      <c r="M299" s="187"/>
      <c r="N299" s="187"/>
      <c r="O299" s="187"/>
      <c r="P299" s="187"/>
      <c r="Q299" s="187"/>
      <c r="R299" s="187"/>
      <c r="S299" s="188"/>
    </row>
    <row r="300" spans="2:19" ht="12.75">
      <c r="B300" s="185"/>
      <c r="C300" s="186"/>
      <c r="D300" s="187"/>
      <c r="E300" s="187"/>
      <c r="F300" s="187"/>
      <c r="G300" s="187"/>
      <c r="H300" s="187"/>
      <c r="I300" s="187"/>
      <c r="J300" s="187"/>
      <c r="K300" s="187"/>
      <c r="L300" s="187"/>
      <c r="M300" s="187"/>
      <c r="N300" s="187"/>
      <c r="O300" s="187"/>
      <c r="P300" s="187"/>
      <c r="Q300" s="187"/>
      <c r="R300" s="187"/>
      <c r="S300" s="188"/>
    </row>
    <row r="301" spans="2:19" ht="12.75">
      <c r="B301" s="185"/>
      <c r="C301" s="186"/>
      <c r="D301" s="187"/>
      <c r="E301" s="187"/>
      <c r="F301" s="187"/>
      <c r="G301" s="187"/>
      <c r="H301" s="187"/>
      <c r="I301" s="187"/>
      <c r="J301" s="187"/>
      <c r="K301" s="187"/>
      <c r="L301" s="187"/>
      <c r="M301" s="187"/>
      <c r="N301" s="187"/>
      <c r="O301" s="187"/>
      <c r="P301" s="187"/>
      <c r="Q301" s="187"/>
      <c r="R301" s="187"/>
      <c r="S301" s="188"/>
    </row>
    <row r="302" spans="2:19" ht="12.75">
      <c r="B302" s="185"/>
      <c r="C302" s="186"/>
      <c r="D302" s="187"/>
      <c r="E302" s="187"/>
      <c r="F302" s="187"/>
      <c r="G302" s="187"/>
      <c r="H302" s="187"/>
      <c r="I302" s="187"/>
      <c r="J302" s="187"/>
      <c r="K302" s="187"/>
      <c r="L302" s="187"/>
      <c r="M302" s="187"/>
      <c r="N302" s="187"/>
      <c r="O302" s="187"/>
      <c r="P302" s="187"/>
      <c r="Q302" s="187"/>
      <c r="R302" s="187"/>
      <c r="S302" s="188"/>
    </row>
    <row r="303" spans="2:19" ht="12.75">
      <c r="B303" s="185"/>
      <c r="C303" s="186"/>
      <c r="D303" s="187"/>
      <c r="E303" s="187"/>
      <c r="F303" s="187"/>
      <c r="G303" s="187"/>
      <c r="H303" s="187"/>
      <c r="I303" s="187"/>
      <c r="J303" s="187"/>
      <c r="K303" s="187"/>
      <c r="L303" s="187"/>
      <c r="M303" s="187"/>
      <c r="N303" s="187"/>
      <c r="O303" s="187"/>
      <c r="P303" s="187"/>
      <c r="Q303" s="187"/>
      <c r="R303" s="187"/>
      <c r="S303" s="188"/>
    </row>
    <row r="304" spans="2:19" ht="12.75">
      <c r="B304" s="185"/>
      <c r="C304" s="186"/>
      <c r="D304" s="187"/>
      <c r="E304" s="187"/>
      <c r="F304" s="187"/>
      <c r="G304" s="187"/>
      <c r="H304" s="187"/>
      <c r="I304" s="187"/>
      <c r="J304" s="187"/>
      <c r="K304" s="187"/>
      <c r="L304" s="187"/>
      <c r="M304" s="187"/>
      <c r="N304" s="187"/>
      <c r="O304" s="187"/>
      <c r="P304" s="187"/>
      <c r="Q304" s="187"/>
      <c r="R304" s="187"/>
      <c r="S304" s="188"/>
    </row>
    <row r="305" spans="2:19" ht="12.75">
      <c r="B305" s="185"/>
      <c r="C305" s="186"/>
      <c r="D305" s="187"/>
      <c r="E305" s="187"/>
      <c r="F305" s="187"/>
      <c r="G305" s="187"/>
      <c r="H305" s="187"/>
      <c r="I305" s="187"/>
      <c r="J305" s="187"/>
      <c r="K305" s="187"/>
      <c r="L305" s="187"/>
      <c r="M305" s="187"/>
      <c r="N305" s="187"/>
      <c r="O305" s="187"/>
      <c r="P305" s="187"/>
      <c r="Q305" s="187"/>
      <c r="R305" s="187"/>
      <c r="S305" s="188"/>
    </row>
    <row r="306" spans="2:19" ht="12.75">
      <c r="B306" s="185"/>
      <c r="C306" s="186"/>
      <c r="D306" s="187"/>
      <c r="E306" s="187"/>
      <c r="F306" s="187"/>
      <c r="G306" s="187"/>
      <c r="H306" s="187"/>
      <c r="I306" s="187"/>
      <c r="J306" s="187"/>
      <c r="K306" s="187"/>
      <c r="L306" s="187"/>
      <c r="M306" s="187"/>
      <c r="N306" s="187"/>
      <c r="O306" s="187"/>
      <c r="P306" s="187"/>
      <c r="Q306" s="187"/>
      <c r="R306" s="187"/>
      <c r="S306" s="188"/>
    </row>
    <row r="307" spans="2:19" ht="12.75">
      <c r="B307" s="185"/>
      <c r="C307" s="186"/>
      <c r="D307" s="187"/>
      <c r="E307" s="187"/>
      <c r="F307" s="187"/>
      <c r="G307" s="187"/>
      <c r="H307" s="187"/>
      <c r="I307" s="187"/>
      <c r="J307" s="187"/>
      <c r="K307" s="187"/>
      <c r="L307" s="187"/>
      <c r="M307" s="187"/>
      <c r="N307" s="187"/>
      <c r="O307" s="187"/>
      <c r="P307" s="187"/>
      <c r="Q307" s="187"/>
      <c r="R307" s="187"/>
      <c r="S307" s="188"/>
    </row>
    <row r="308" spans="2:19" ht="12.75">
      <c r="B308" s="185"/>
      <c r="C308" s="186"/>
      <c r="D308" s="187"/>
      <c r="E308" s="187"/>
      <c r="F308" s="187"/>
      <c r="G308" s="187"/>
      <c r="H308" s="187"/>
      <c r="I308" s="187"/>
      <c r="J308" s="187"/>
      <c r="K308" s="187"/>
      <c r="L308" s="187"/>
      <c r="M308" s="187"/>
      <c r="N308" s="187"/>
      <c r="O308" s="187"/>
      <c r="P308" s="187"/>
      <c r="Q308" s="187"/>
      <c r="R308" s="187"/>
      <c r="S308" s="188"/>
    </row>
    <row r="309" spans="2:19" ht="12.75">
      <c r="B309" s="185"/>
      <c r="C309" s="186"/>
      <c r="D309" s="187"/>
      <c r="E309" s="187"/>
      <c r="F309" s="187"/>
      <c r="G309" s="187"/>
      <c r="H309" s="187"/>
      <c r="I309" s="187"/>
      <c r="J309" s="187"/>
      <c r="K309" s="187"/>
      <c r="L309" s="187"/>
      <c r="M309" s="187"/>
      <c r="N309" s="187"/>
      <c r="O309" s="187"/>
      <c r="P309" s="187"/>
      <c r="Q309" s="187"/>
      <c r="R309" s="187"/>
      <c r="S309" s="188"/>
    </row>
    <row r="310" spans="2:19" ht="12.75">
      <c r="B310" s="185"/>
      <c r="C310" s="186"/>
      <c r="D310" s="187"/>
      <c r="E310" s="187"/>
      <c r="F310" s="187"/>
      <c r="G310" s="187"/>
      <c r="H310" s="187"/>
      <c r="I310" s="187"/>
      <c r="J310" s="187"/>
      <c r="K310" s="187"/>
      <c r="L310" s="187"/>
      <c r="M310" s="187"/>
      <c r="N310" s="187"/>
      <c r="O310" s="187"/>
      <c r="P310" s="187"/>
      <c r="Q310" s="187"/>
      <c r="R310" s="187"/>
      <c r="S310" s="188"/>
    </row>
    <row r="311" spans="2:19" ht="12.75">
      <c r="B311" s="185"/>
      <c r="C311" s="186"/>
      <c r="D311" s="187"/>
      <c r="E311" s="187"/>
      <c r="F311" s="187"/>
      <c r="G311" s="187"/>
      <c r="H311" s="187"/>
      <c r="I311" s="187"/>
      <c r="J311" s="187"/>
      <c r="K311" s="187"/>
      <c r="L311" s="187"/>
      <c r="M311" s="187"/>
      <c r="N311" s="187"/>
      <c r="O311" s="187"/>
      <c r="P311" s="187"/>
      <c r="Q311" s="187"/>
      <c r="R311" s="187"/>
      <c r="S311" s="188"/>
    </row>
    <row r="312" spans="2:19" ht="12.75">
      <c r="B312" s="185"/>
      <c r="C312" s="186"/>
      <c r="D312" s="187"/>
      <c r="E312" s="187"/>
      <c r="F312" s="187"/>
      <c r="G312" s="187"/>
      <c r="H312" s="187"/>
      <c r="I312" s="187"/>
      <c r="J312" s="187"/>
      <c r="K312" s="187"/>
      <c r="L312" s="187"/>
      <c r="M312" s="187"/>
      <c r="N312" s="187"/>
      <c r="O312" s="187"/>
      <c r="P312" s="187"/>
      <c r="Q312" s="187"/>
      <c r="R312" s="187"/>
      <c r="S312" s="188"/>
    </row>
    <row r="313" spans="2:19" ht="12.75">
      <c r="B313" s="185"/>
      <c r="C313" s="186"/>
      <c r="D313" s="187"/>
      <c r="E313" s="187"/>
      <c r="F313" s="187"/>
      <c r="G313" s="187"/>
      <c r="H313" s="187"/>
      <c r="I313" s="187"/>
      <c r="J313" s="187"/>
      <c r="K313" s="187"/>
      <c r="L313" s="187"/>
      <c r="M313" s="187"/>
      <c r="N313" s="187"/>
      <c r="O313" s="187"/>
      <c r="P313" s="187"/>
      <c r="Q313" s="187"/>
      <c r="R313" s="187"/>
      <c r="S313" s="188"/>
    </row>
    <row r="314" spans="2:19" ht="12.75">
      <c r="B314" s="185"/>
      <c r="C314" s="186"/>
      <c r="D314" s="187"/>
      <c r="E314" s="187"/>
      <c r="F314" s="187"/>
      <c r="G314" s="187"/>
      <c r="H314" s="187"/>
      <c r="I314" s="187"/>
      <c r="J314" s="187"/>
      <c r="K314" s="187"/>
      <c r="L314" s="187"/>
      <c r="M314" s="187"/>
      <c r="N314" s="187"/>
      <c r="O314" s="187"/>
      <c r="P314" s="187"/>
      <c r="Q314" s="187"/>
      <c r="R314" s="187"/>
      <c r="S314" s="188"/>
    </row>
    <row r="315" spans="2:19" ht="12.75">
      <c r="B315" s="185"/>
      <c r="C315" s="186"/>
      <c r="D315" s="187"/>
      <c r="E315" s="187"/>
      <c r="F315" s="187"/>
      <c r="G315" s="187"/>
      <c r="H315" s="187"/>
      <c r="I315" s="187"/>
      <c r="J315" s="187"/>
      <c r="K315" s="187"/>
      <c r="L315" s="187"/>
      <c r="M315" s="187"/>
      <c r="N315" s="187"/>
      <c r="O315" s="187"/>
      <c r="P315" s="187"/>
      <c r="Q315" s="187"/>
      <c r="R315" s="187"/>
      <c r="S315" s="188"/>
    </row>
    <row r="316" spans="2:19" ht="12.75">
      <c r="B316" s="185"/>
      <c r="C316" s="186"/>
      <c r="D316" s="187"/>
      <c r="E316" s="187"/>
      <c r="F316" s="187"/>
      <c r="G316" s="187"/>
      <c r="H316" s="187"/>
      <c r="I316" s="187"/>
      <c r="J316" s="187"/>
      <c r="K316" s="187"/>
      <c r="L316" s="187"/>
      <c r="M316" s="187"/>
      <c r="N316" s="187"/>
      <c r="O316" s="187"/>
      <c r="P316" s="187"/>
      <c r="Q316" s="187"/>
      <c r="R316" s="187"/>
      <c r="S316" s="188"/>
    </row>
    <row r="317" spans="2:19" ht="12.75">
      <c r="B317" s="185"/>
      <c r="C317" s="186"/>
      <c r="D317" s="187"/>
      <c r="E317" s="187"/>
      <c r="F317" s="187"/>
      <c r="G317" s="187"/>
      <c r="H317" s="187"/>
      <c r="I317" s="187"/>
      <c r="J317" s="187"/>
      <c r="K317" s="187"/>
      <c r="L317" s="187"/>
      <c r="M317" s="187"/>
      <c r="N317" s="187"/>
      <c r="O317" s="187"/>
      <c r="P317" s="187"/>
      <c r="Q317" s="187"/>
      <c r="R317" s="187"/>
      <c r="S317" s="188"/>
    </row>
    <row r="318" spans="2:19" ht="12.75">
      <c r="B318" s="185"/>
      <c r="C318" s="186"/>
      <c r="D318" s="187"/>
      <c r="E318" s="187"/>
      <c r="F318" s="187"/>
      <c r="G318" s="187"/>
      <c r="H318" s="187"/>
      <c r="I318" s="187"/>
      <c r="J318" s="187"/>
      <c r="K318" s="187"/>
      <c r="L318" s="187"/>
      <c r="M318" s="187"/>
      <c r="N318" s="187"/>
      <c r="O318" s="187"/>
      <c r="P318" s="187"/>
      <c r="Q318" s="187"/>
      <c r="R318" s="187"/>
      <c r="S318" s="188"/>
    </row>
    <row r="319" spans="2:19" ht="12.75">
      <c r="B319" s="185"/>
      <c r="C319" s="186"/>
      <c r="D319" s="187"/>
      <c r="E319" s="187"/>
      <c r="F319" s="187"/>
      <c r="G319" s="187"/>
      <c r="H319" s="187"/>
      <c r="I319" s="187"/>
      <c r="J319" s="187"/>
      <c r="K319" s="187"/>
      <c r="L319" s="187"/>
      <c r="M319" s="187"/>
      <c r="N319" s="187"/>
      <c r="O319" s="187"/>
      <c r="P319" s="187"/>
      <c r="Q319" s="187"/>
      <c r="R319" s="187"/>
      <c r="S319" s="188"/>
    </row>
    <row r="320" spans="2:19" ht="12.75">
      <c r="B320" s="185"/>
      <c r="C320" s="186"/>
      <c r="D320" s="187"/>
      <c r="E320" s="187"/>
      <c r="F320" s="187"/>
      <c r="G320" s="187"/>
      <c r="H320" s="187"/>
      <c r="I320" s="187"/>
      <c r="J320" s="187"/>
      <c r="K320" s="187"/>
      <c r="L320" s="187"/>
      <c r="M320" s="187"/>
      <c r="N320" s="187"/>
      <c r="O320" s="187"/>
      <c r="P320" s="187"/>
      <c r="Q320" s="187"/>
      <c r="R320" s="187"/>
      <c r="S320" s="188"/>
    </row>
    <row r="321" spans="2:19" ht="12.75">
      <c r="B321" s="185"/>
      <c r="C321" s="186"/>
      <c r="D321" s="187"/>
      <c r="E321" s="187"/>
      <c r="F321" s="187"/>
      <c r="G321" s="187"/>
      <c r="H321" s="187"/>
      <c r="I321" s="187"/>
      <c r="J321" s="187"/>
      <c r="K321" s="187"/>
      <c r="L321" s="187"/>
      <c r="M321" s="187"/>
      <c r="N321" s="187"/>
      <c r="O321" s="187"/>
      <c r="P321" s="187"/>
      <c r="Q321" s="187"/>
      <c r="R321" s="187"/>
      <c r="S321" s="188"/>
    </row>
    <row r="322" spans="2:19" ht="12.75">
      <c r="B322" s="185"/>
      <c r="C322" s="186"/>
      <c r="D322" s="187"/>
      <c r="E322" s="187"/>
      <c r="F322" s="187"/>
      <c r="G322" s="187"/>
      <c r="H322" s="187"/>
      <c r="I322" s="187"/>
      <c r="J322" s="187"/>
      <c r="K322" s="187"/>
      <c r="L322" s="187"/>
      <c r="M322" s="187"/>
      <c r="N322" s="187"/>
      <c r="O322" s="187"/>
      <c r="P322" s="187"/>
      <c r="Q322" s="187"/>
      <c r="R322" s="187"/>
      <c r="S322" s="188"/>
    </row>
    <row r="323" spans="2:19" ht="12.75">
      <c r="B323" s="185"/>
      <c r="C323" s="186"/>
      <c r="D323" s="187"/>
      <c r="E323" s="187"/>
      <c r="F323" s="187"/>
      <c r="G323" s="187"/>
      <c r="H323" s="187"/>
      <c r="I323" s="187"/>
      <c r="J323" s="187"/>
      <c r="K323" s="187"/>
      <c r="L323" s="187"/>
      <c r="M323" s="187"/>
      <c r="N323" s="187"/>
      <c r="O323" s="187"/>
      <c r="P323" s="187"/>
      <c r="Q323" s="187"/>
      <c r="R323" s="187"/>
      <c r="S323" s="188"/>
    </row>
    <row r="324" spans="2:19" ht="12.75">
      <c r="B324" s="185"/>
      <c r="C324" s="186"/>
      <c r="D324" s="187"/>
      <c r="E324" s="187"/>
      <c r="F324" s="187"/>
      <c r="G324" s="187"/>
      <c r="H324" s="187"/>
      <c r="I324" s="187"/>
      <c r="J324" s="187"/>
      <c r="K324" s="187"/>
      <c r="L324" s="187"/>
      <c r="M324" s="187"/>
      <c r="N324" s="187"/>
      <c r="O324" s="187"/>
      <c r="P324" s="187"/>
      <c r="Q324" s="187"/>
      <c r="R324" s="187"/>
      <c r="S324" s="188"/>
    </row>
    <row r="325" spans="2:19" ht="12.75">
      <c r="B325" s="185"/>
      <c r="C325" s="186"/>
      <c r="D325" s="187"/>
      <c r="E325" s="187"/>
      <c r="F325" s="187"/>
      <c r="G325" s="187"/>
      <c r="H325" s="187"/>
      <c r="I325" s="187"/>
      <c r="J325" s="187"/>
      <c r="K325" s="187"/>
      <c r="L325" s="187"/>
      <c r="M325" s="187"/>
      <c r="N325" s="187"/>
      <c r="O325" s="187"/>
      <c r="P325" s="187"/>
      <c r="Q325" s="187"/>
      <c r="R325" s="187"/>
      <c r="S325" s="188"/>
    </row>
    <row r="326" spans="2:19" ht="12.75">
      <c r="B326" s="185"/>
      <c r="C326" s="186"/>
      <c r="D326" s="187"/>
      <c r="E326" s="187"/>
      <c r="F326" s="187"/>
      <c r="G326" s="187"/>
      <c r="H326" s="187"/>
      <c r="I326" s="187"/>
      <c r="J326" s="187"/>
      <c r="K326" s="187"/>
      <c r="L326" s="187"/>
      <c r="M326" s="187"/>
      <c r="N326" s="187"/>
      <c r="O326" s="187"/>
      <c r="P326" s="187"/>
      <c r="Q326" s="187"/>
      <c r="R326" s="187"/>
      <c r="S326" s="188"/>
    </row>
    <row r="327" spans="2:19" ht="12.75">
      <c r="B327" s="185"/>
      <c r="C327" s="186"/>
      <c r="D327" s="187"/>
      <c r="E327" s="187"/>
      <c r="F327" s="187"/>
      <c r="G327" s="187"/>
      <c r="H327" s="187"/>
      <c r="I327" s="187"/>
      <c r="J327" s="187"/>
      <c r="K327" s="187"/>
      <c r="L327" s="187"/>
      <c r="M327" s="187"/>
      <c r="N327" s="187"/>
      <c r="O327" s="187"/>
      <c r="P327" s="187"/>
      <c r="Q327" s="187"/>
      <c r="R327" s="187"/>
      <c r="S327" s="188"/>
    </row>
    <row r="328" spans="2:19" ht="12.75">
      <c r="B328" s="185"/>
      <c r="C328" s="186"/>
      <c r="D328" s="187"/>
      <c r="E328" s="187"/>
      <c r="F328" s="187"/>
      <c r="G328" s="187"/>
      <c r="H328" s="187"/>
      <c r="I328" s="187"/>
      <c r="J328" s="187"/>
      <c r="K328" s="187"/>
      <c r="L328" s="187"/>
      <c r="M328" s="187"/>
      <c r="N328" s="187"/>
      <c r="O328" s="187"/>
      <c r="P328" s="187"/>
      <c r="Q328" s="187"/>
      <c r="R328" s="187"/>
      <c r="S328" s="188"/>
    </row>
    <row r="329" spans="2:19" ht="12.75">
      <c r="B329" s="185"/>
      <c r="C329" s="186"/>
      <c r="D329" s="187"/>
      <c r="E329" s="187"/>
      <c r="F329" s="187"/>
      <c r="G329" s="187"/>
      <c r="H329" s="187"/>
      <c r="I329" s="187"/>
      <c r="J329" s="187"/>
      <c r="K329" s="187"/>
      <c r="L329" s="187"/>
      <c r="M329" s="187"/>
      <c r="N329" s="187"/>
      <c r="O329" s="187"/>
      <c r="P329" s="187"/>
      <c r="Q329" s="187"/>
      <c r="R329" s="187"/>
      <c r="S329" s="188"/>
    </row>
    <row r="330" spans="2:19" ht="12.75">
      <c r="B330" s="185"/>
      <c r="C330" s="186"/>
      <c r="D330" s="187"/>
      <c r="E330" s="187"/>
      <c r="F330" s="187"/>
      <c r="G330" s="187"/>
      <c r="H330" s="187"/>
      <c r="I330" s="187"/>
      <c r="J330" s="187"/>
      <c r="K330" s="187"/>
      <c r="L330" s="187"/>
      <c r="M330" s="187"/>
      <c r="N330" s="187"/>
      <c r="O330" s="187"/>
      <c r="P330" s="187"/>
      <c r="Q330" s="187"/>
      <c r="R330" s="187"/>
      <c r="S330" s="188"/>
    </row>
    <row r="331" spans="2:19" ht="12.75">
      <c r="B331" s="185"/>
      <c r="C331" s="186"/>
      <c r="D331" s="187"/>
      <c r="E331" s="187"/>
      <c r="F331" s="187"/>
      <c r="G331" s="187"/>
      <c r="H331" s="187"/>
      <c r="I331" s="187"/>
      <c r="J331" s="187"/>
      <c r="K331" s="187"/>
      <c r="L331" s="187"/>
      <c r="M331" s="187"/>
      <c r="N331" s="187"/>
      <c r="O331" s="187"/>
      <c r="P331" s="187"/>
      <c r="Q331" s="187"/>
      <c r="R331" s="187"/>
      <c r="S331" s="188"/>
    </row>
    <row r="332" spans="2:19" ht="12.75">
      <c r="B332" s="185"/>
      <c r="C332" s="186"/>
      <c r="D332" s="187"/>
      <c r="E332" s="187"/>
      <c r="F332" s="187"/>
      <c r="G332" s="187"/>
      <c r="H332" s="187"/>
      <c r="I332" s="187"/>
      <c r="J332" s="187"/>
      <c r="K332" s="187"/>
      <c r="L332" s="187"/>
      <c r="M332" s="187"/>
      <c r="N332" s="187"/>
      <c r="O332" s="187"/>
      <c r="P332" s="187"/>
      <c r="Q332" s="187"/>
      <c r="R332" s="187"/>
      <c r="S332" s="188"/>
    </row>
    <row r="333" spans="2:19" ht="12.75">
      <c r="B333" s="185"/>
      <c r="C333" s="186"/>
      <c r="D333" s="187"/>
      <c r="E333" s="187"/>
      <c r="F333" s="187"/>
      <c r="G333" s="187"/>
      <c r="H333" s="187"/>
      <c r="I333" s="187"/>
      <c r="J333" s="187"/>
      <c r="K333" s="187"/>
      <c r="L333" s="187"/>
      <c r="M333" s="187"/>
      <c r="N333" s="187"/>
      <c r="O333" s="187"/>
      <c r="P333" s="187"/>
      <c r="Q333" s="187"/>
      <c r="R333" s="187"/>
      <c r="S333" s="188"/>
    </row>
    <row r="334" spans="2:19" ht="12.75">
      <c r="B334" s="185"/>
      <c r="C334" s="186"/>
      <c r="D334" s="187"/>
      <c r="E334" s="187"/>
      <c r="F334" s="187"/>
      <c r="G334" s="187"/>
      <c r="H334" s="187"/>
      <c r="I334" s="187"/>
      <c r="J334" s="187"/>
      <c r="K334" s="187"/>
      <c r="L334" s="187"/>
      <c r="M334" s="187"/>
      <c r="N334" s="187"/>
      <c r="O334" s="187"/>
      <c r="P334" s="187"/>
      <c r="Q334" s="187"/>
      <c r="R334" s="187"/>
      <c r="S334" s="188"/>
    </row>
    <row r="335" spans="2:19" ht="12.75">
      <c r="B335" s="185"/>
      <c r="C335" s="186"/>
      <c r="D335" s="187"/>
      <c r="E335" s="187"/>
      <c r="F335" s="187"/>
      <c r="G335" s="187"/>
      <c r="H335" s="187"/>
      <c r="I335" s="187"/>
      <c r="J335" s="187"/>
      <c r="K335" s="187"/>
      <c r="L335" s="187"/>
      <c r="M335" s="187"/>
      <c r="N335" s="187"/>
      <c r="O335" s="187"/>
      <c r="P335" s="187"/>
      <c r="Q335" s="187"/>
      <c r="R335" s="187"/>
      <c r="S335" s="188"/>
    </row>
    <row r="336" spans="2:19" ht="12.75">
      <c r="B336" s="185"/>
      <c r="C336" s="186"/>
      <c r="D336" s="187"/>
      <c r="E336" s="187"/>
      <c r="F336" s="187"/>
      <c r="G336" s="187"/>
      <c r="H336" s="187"/>
      <c r="I336" s="187"/>
      <c r="J336" s="187"/>
      <c r="K336" s="187"/>
      <c r="L336" s="187"/>
      <c r="M336" s="187"/>
      <c r="N336" s="187"/>
      <c r="O336" s="187"/>
      <c r="P336" s="187"/>
      <c r="Q336" s="187"/>
      <c r="R336" s="187"/>
      <c r="S336" s="188"/>
    </row>
    <row r="337" spans="2:19" ht="12.75">
      <c r="B337" s="185"/>
      <c r="C337" s="186"/>
      <c r="D337" s="187"/>
      <c r="E337" s="187"/>
      <c r="F337" s="187"/>
      <c r="G337" s="187"/>
      <c r="H337" s="187"/>
      <c r="I337" s="187"/>
      <c r="J337" s="187"/>
      <c r="K337" s="187"/>
      <c r="L337" s="187"/>
      <c r="M337" s="187"/>
      <c r="N337" s="187"/>
      <c r="O337" s="187"/>
      <c r="P337" s="187"/>
      <c r="Q337" s="187"/>
      <c r="R337" s="187"/>
      <c r="S337" s="188"/>
    </row>
    <row r="338" spans="2:19" ht="12.75">
      <c r="B338" s="185"/>
      <c r="C338" s="186"/>
      <c r="D338" s="187"/>
      <c r="E338" s="187"/>
      <c r="F338" s="187"/>
      <c r="G338" s="187"/>
      <c r="H338" s="187"/>
      <c r="I338" s="187"/>
      <c r="J338" s="187"/>
      <c r="K338" s="187"/>
      <c r="L338" s="187"/>
      <c r="M338" s="187"/>
      <c r="N338" s="187"/>
      <c r="O338" s="187"/>
      <c r="P338" s="187"/>
      <c r="Q338" s="187"/>
      <c r="R338" s="187"/>
      <c r="S338" s="188"/>
    </row>
    <row r="339" spans="2:19" ht="12.75">
      <c r="B339" s="185"/>
      <c r="C339" s="186"/>
      <c r="D339" s="187"/>
      <c r="E339" s="187"/>
      <c r="F339" s="187"/>
      <c r="G339" s="187"/>
      <c r="H339" s="187"/>
      <c r="I339" s="187"/>
      <c r="J339" s="187"/>
      <c r="K339" s="187"/>
      <c r="L339" s="187"/>
      <c r="M339" s="187"/>
      <c r="N339" s="187"/>
      <c r="O339" s="187"/>
      <c r="P339" s="187"/>
      <c r="Q339" s="187"/>
      <c r="R339" s="187"/>
      <c r="S339" s="188"/>
    </row>
    <row r="340" spans="2:19" ht="12.75">
      <c r="B340" s="185"/>
      <c r="C340" s="186"/>
      <c r="D340" s="187"/>
      <c r="E340" s="187"/>
      <c r="F340" s="187"/>
      <c r="G340" s="187"/>
      <c r="H340" s="187"/>
      <c r="I340" s="187"/>
      <c r="J340" s="187"/>
      <c r="K340" s="187"/>
      <c r="L340" s="187"/>
      <c r="M340" s="187"/>
      <c r="N340" s="187"/>
      <c r="O340" s="187"/>
      <c r="P340" s="187"/>
      <c r="Q340" s="187"/>
      <c r="R340" s="187"/>
      <c r="S340" s="188"/>
    </row>
    <row r="341" spans="2:19" ht="12.75">
      <c r="B341" s="185"/>
      <c r="C341" s="186"/>
      <c r="D341" s="187"/>
      <c r="E341" s="187"/>
      <c r="F341" s="187"/>
      <c r="G341" s="187"/>
      <c r="H341" s="187"/>
      <c r="I341" s="187"/>
      <c r="J341" s="187"/>
      <c r="K341" s="187"/>
      <c r="L341" s="187"/>
      <c r="M341" s="187"/>
      <c r="N341" s="187"/>
      <c r="O341" s="187"/>
      <c r="P341" s="187"/>
      <c r="Q341" s="187"/>
      <c r="R341" s="187"/>
      <c r="S341" s="188"/>
    </row>
    <row r="342" spans="2:19" ht="12.75">
      <c r="B342" s="185"/>
      <c r="C342" s="186"/>
      <c r="D342" s="187"/>
      <c r="E342" s="187"/>
      <c r="F342" s="187"/>
      <c r="G342" s="187"/>
      <c r="H342" s="187"/>
      <c r="I342" s="187"/>
      <c r="J342" s="187"/>
      <c r="K342" s="187"/>
      <c r="L342" s="187"/>
      <c r="M342" s="187"/>
      <c r="N342" s="187"/>
      <c r="O342" s="187"/>
      <c r="P342" s="187"/>
      <c r="Q342" s="187"/>
      <c r="R342" s="187"/>
      <c r="S342" s="188"/>
    </row>
    <row r="343" spans="2:19" ht="12.75">
      <c r="B343" s="185"/>
      <c r="C343" s="186"/>
      <c r="D343" s="187"/>
      <c r="E343" s="187"/>
      <c r="F343" s="187"/>
      <c r="G343" s="187"/>
      <c r="H343" s="187"/>
      <c r="I343" s="187"/>
      <c r="J343" s="187"/>
      <c r="K343" s="187"/>
      <c r="L343" s="187"/>
      <c r="M343" s="187"/>
      <c r="N343" s="187"/>
      <c r="O343" s="187"/>
      <c r="P343" s="187"/>
      <c r="Q343" s="187"/>
      <c r="R343" s="187"/>
      <c r="S343" s="188"/>
    </row>
    <row r="344" spans="2:19" ht="12.75">
      <c r="B344" s="185"/>
      <c r="C344" s="186"/>
      <c r="D344" s="187"/>
      <c r="E344" s="187"/>
      <c r="F344" s="187"/>
      <c r="G344" s="187"/>
      <c r="H344" s="187"/>
      <c r="I344" s="187"/>
      <c r="J344" s="187"/>
      <c r="K344" s="187"/>
      <c r="L344" s="187"/>
      <c r="M344" s="187"/>
      <c r="N344" s="187"/>
      <c r="O344" s="187"/>
      <c r="P344" s="187"/>
      <c r="Q344" s="187"/>
      <c r="R344" s="187"/>
      <c r="S344" s="188"/>
    </row>
    <row r="345" spans="2:19" ht="12.75">
      <c r="B345" s="185"/>
      <c r="C345" s="186"/>
      <c r="D345" s="187"/>
      <c r="E345" s="187"/>
      <c r="F345" s="187"/>
      <c r="G345" s="187"/>
      <c r="H345" s="187"/>
      <c r="I345" s="187"/>
      <c r="J345" s="187"/>
      <c r="K345" s="187"/>
      <c r="L345" s="187"/>
      <c r="M345" s="187"/>
      <c r="N345" s="187"/>
      <c r="O345" s="187"/>
      <c r="P345" s="187"/>
      <c r="Q345" s="187"/>
      <c r="R345" s="187"/>
      <c r="S345" s="188"/>
    </row>
    <row r="346" spans="2:19" ht="12.75">
      <c r="B346" s="185"/>
      <c r="C346" s="186"/>
      <c r="D346" s="187"/>
      <c r="E346" s="187"/>
      <c r="F346" s="187"/>
      <c r="G346" s="187"/>
      <c r="H346" s="187"/>
      <c r="I346" s="187"/>
      <c r="J346" s="187"/>
      <c r="K346" s="187"/>
      <c r="L346" s="187"/>
      <c r="M346" s="187"/>
      <c r="N346" s="187"/>
      <c r="O346" s="187"/>
      <c r="P346" s="187"/>
      <c r="Q346" s="187"/>
      <c r="R346" s="187"/>
      <c r="S346" s="188"/>
    </row>
    <row r="347" spans="2:19" ht="12.75">
      <c r="B347" s="185"/>
      <c r="C347" s="186"/>
      <c r="D347" s="187"/>
      <c r="E347" s="187"/>
      <c r="F347" s="187"/>
      <c r="G347" s="187"/>
      <c r="H347" s="187"/>
      <c r="I347" s="187"/>
      <c r="J347" s="187"/>
      <c r="K347" s="187"/>
      <c r="L347" s="187"/>
      <c r="M347" s="187"/>
      <c r="N347" s="187"/>
      <c r="O347" s="187"/>
      <c r="P347" s="187"/>
      <c r="Q347" s="187"/>
      <c r="R347" s="187"/>
      <c r="S347" s="188"/>
    </row>
    <row r="348" spans="2:19" ht="12.75">
      <c r="B348" s="185"/>
      <c r="C348" s="186"/>
      <c r="D348" s="187"/>
      <c r="E348" s="187"/>
      <c r="F348" s="187"/>
      <c r="G348" s="187"/>
      <c r="H348" s="187"/>
      <c r="I348" s="187"/>
      <c r="J348" s="187"/>
      <c r="K348" s="187"/>
      <c r="L348" s="187"/>
      <c r="M348" s="187"/>
      <c r="N348" s="187"/>
      <c r="O348" s="187"/>
      <c r="P348" s="187"/>
      <c r="Q348" s="187"/>
      <c r="R348" s="187"/>
      <c r="S348" s="188"/>
    </row>
    <row r="349" spans="2:19" ht="12.75">
      <c r="B349" s="185"/>
      <c r="C349" s="186"/>
      <c r="D349" s="187"/>
      <c r="E349" s="187"/>
      <c r="F349" s="187"/>
      <c r="G349" s="187"/>
      <c r="H349" s="187"/>
      <c r="I349" s="187"/>
      <c r="J349" s="187"/>
      <c r="K349" s="187"/>
      <c r="L349" s="187"/>
      <c r="M349" s="187"/>
      <c r="N349" s="187"/>
      <c r="O349" s="187"/>
      <c r="P349" s="187"/>
      <c r="Q349" s="187"/>
      <c r="R349" s="187"/>
      <c r="S349" s="188"/>
    </row>
    <row r="350" spans="2:19" ht="12.75">
      <c r="B350" s="185"/>
      <c r="C350" s="186"/>
      <c r="D350" s="187"/>
      <c r="E350" s="187"/>
      <c r="F350" s="187"/>
      <c r="G350" s="187"/>
      <c r="H350" s="187"/>
      <c r="I350" s="187"/>
      <c r="J350" s="187"/>
      <c r="K350" s="187"/>
      <c r="L350" s="187"/>
      <c r="M350" s="187"/>
      <c r="N350" s="187"/>
      <c r="O350" s="187"/>
      <c r="P350" s="187"/>
      <c r="Q350" s="187"/>
      <c r="R350" s="187"/>
      <c r="S350" s="188"/>
    </row>
    <row r="351" spans="2:19" ht="12.75">
      <c r="B351" s="185"/>
      <c r="C351" s="186"/>
      <c r="D351" s="187"/>
      <c r="E351" s="187"/>
      <c r="F351" s="187"/>
      <c r="G351" s="187"/>
      <c r="H351" s="187"/>
      <c r="I351" s="187"/>
      <c r="J351" s="187"/>
      <c r="K351" s="187"/>
      <c r="L351" s="187"/>
      <c r="M351" s="187"/>
      <c r="N351" s="187"/>
      <c r="O351" s="187"/>
      <c r="P351" s="187"/>
      <c r="Q351" s="187"/>
      <c r="R351" s="187"/>
      <c r="S351" s="188"/>
    </row>
    <row r="352" spans="2:19" ht="12.75">
      <c r="B352" s="185"/>
      <c r="C352" s="186"/>
      <c r="D352" s="187"/>
      <c r="E352" s="187"/>
      <c r="F352" s="187"/>
      <c r="G352" s="187"/>
      <c r="H352" s="187"/>
      <c r="I352" s="187"/>
      <c r="J352" s="187"/>
      <c r="K352" s="187"/>
      <c r="L352" s="187"/>
      <c r="M352" s="187"/>
      <c r="N352" s="187"/>
      <c r="O352" s="187"/>
      <c r="P352" s="187"/>
      <c r="Q352" s="187"/>
      <c r="R352" s="187"/>
      <c r="S352" s="188"/>
    </row>
    <row r="353" spans="2:19" ht="12.75">
      <c r="B353" s="185"/>
      <c r="C353" s="186"/>
      <c r="D353" s="187"/>
      <c r="E353" s="187"/>
      <c r="F353" s="187"/>
      <c r="G353" s="187"/>
      <c r="H353" s="187"/>
      <c r="I353" s="187"/>
      <c r="J353" s="187"/>
      <c r="K353" s="187"/>
      <c r="L353" s="187"/>
      <c r="M353" s="187"/>
      <c r="N353" s="187"/>
      <c r="O353" s="187"/>
      <c r="P353" s="187"/>
      <c r="Q353" s="187"/>
      <c r="R353" s="187"/>
      <c r="S353" s="188"/>
    </row>
    <row r="354" spans="2:19" ht="12.75">
      <c r="B354" s="185"/>
      <c r="C354" s="186"/>
      <c r="D354" s="187"/>
      <c r="E354" s="187"/>
      <c r="F354" s="187"/>
      <c r="G354" s="187"/>
      <c r="H354" s="187"/>
      <c r="I354" s="187"/>
      <c r="J354" s="187"/>
      <c r="K354" s="187"/>
      <c r="L354" s="187"/>
      <c r="M354" s="187"/>
      <c r="N354" s="187"/>
      <c r="O354" s="187"/>
      <c r="P354" s="187"/>
      <c r="Q354" s="187"/>
      <c r="R354" s="187"/>
      <c r="S354" s="188"/>
    </row>
    <row r="355" spans="2:19" ht="12.75">
      <c r="B355" s="185"/>
      <c r="C355" s="186"/>
      <c r="D355" s="187"/>
      <c r="E355" s="187"/>
      <c r="F355" s="187"/>
      <c r="G355" s="187"/>
      <c r="H355" s="187"/>
      <c r="I355" s="187"/>
      <c r="J355" s="187"/>
      <c r="K355" s="187"/>
      <c r="L355" s="187"/>
      <c r="M355" s="187"/>
      <c r="N355" s="187"/>
      <c r="O355" s="187"/>
      <c r="P355" s="187"/>
      <c r="Q355" s="187"/>
      <c r="R355" s="187"/>
      <c r="S355" s="188"/>
    </row>
    <row r="356" spans="2:19" ht="12.75">
      <c r="B356" s="185"/>
      <c r="C356" s="186"/>
      <c r="D356" s="187"/>
      <c r="E356" s="187"/>
      <c r="F356" s="187"/>
      <c r="G356" s="187"/>
      <c r="H356" s="187"/>
      <c r="I356" s="187"/>
      <c r="J356" s="187"/>
      <c r="K356" s="187"/>
      <c r="L356" s="187"/>
      <c r="M356" s="187"/>
      <c r="N356" s="187"/>
      <c r="O356" s="187"/>
      <c r="P356" s="187"/>
      <c r="Q356" s="187"/>
      <c r="R356" s="187"/>
      <c r="S356" s="188"/>
    </row>
    <row r="357" spans="2:19" ht="12.75">
      <c r="B357" s="185"/>
      <c r="C357" s="186"/>
      <c r="D357" s="187"/>
      <c r="E357" s="187"/>
      <c r="F357" s="187"/>
      <c r="G357" s="187"/>
      <c r="H357" s="187"/>
      <c r="I357" s="187"/>
      <c r="J357" s="187"/>
      <c r="K357" s="187"/>
      <c r="L357" s="187"/>
      <c r="M357" s="187"/>
      <c r="N357" s="187"/>
      <c r="O357" s="187"/>
      <c r="P357" s="187"/>
      <c r="Q357" s="187"/>
      <c r="R357" s="187"/>
      <c r="S357" s="188"/>
    </row>
    <row r="358" spans="2:19" ht="12.75">
      <c r="B358" s="185"/>
      <c r="C358" s="186"/>
      <c r="D358" s="187"/>
      <c r="E358" s="187"/>
      <c r="F358" s="187"/>
      <c r="G358" s="187"/>
      <c r="H358" s="187"/>
      <c r="I358" s="187"/>
      <c r="J358" s="187"/>
      <c r="K358" s="187"/>
      <c r="L358" s="187"/>
      <c r="M358" s="187"/>
      <c r="N358" s="187"/>
      <c r="O358" s="187"/>
      <c r="P358" s="187"/>
      <c r="Q358" s="187"/>
      <c r="R358" s="187"/>
      <c r="S358" s="188"/>
    </row>
    <row r="359" spans="2:19" ht="12.75">
      <c r="B359" s="185"/>
      <c r="C359" s="186"/>
      <c r="D359" s="187"/>
      <c r="E359" s="187"/>
      <c r="F359" s="187"/>
      <c r="G359" s="187"/>
      <c r="H359" s="187"/>
      <c r="I359" s="187"/>
      <c r="J359" s="187"/>
      <c r="K359" s="187"/>
      <c r="L359" s="187"/>
      <c r="M359" s="187"/>
      <c r="N359" s="187"/>
      <c r="O359" s="187"/>
      <c r="P359" s="187"/>
      <c r="Q359" s="187"/>
      <c r="R359" s="187"/>
      <c r="S359" s="188"/>
    </row>
    <row r="360" spans="2:19" ht="12.75">
      <c r="B360" s="185"/>
      <c r="C360" s="186"/>
      <c r="D360" s="187"/>
      <c r="E360" s="187"/>
      <c r="F360" s="187"/>
      <c r="G360" s="187"/>
      <c r="H360" s="187"/>
      <c r="I360" s="187"/>
      <c r="J360" s="187"/>
      <c r="K360" s="187"/>
      <c r="L360" s="187"/>
      <c r="M360" s="187"/>
      <c r="N360" s="187"/>
      <c r="O360" s="187"/>
      <c r="P360" s="187"/>
      <c r="Q360" s="187"/>
      <c r="R360" s="187"/>
      <c r="S360" s="188"/>
    </row>
    <row r="361" spans="2:19" ht="12.75">
      <c r="B361" s="185"/>
      <c r="C361" s="186"/>
      <c r="D361" s="187"/>
      <c r="E361" s="187"/>
      <c r="F361" s="187"/>
      <c r="G361" s="187"/>
      <c r="H361" s="187"/>
      <c r="I361" s="187"/>
      <c r="J361" s="187"/>
      <c r="K361" s="187"/>
      <c r="L361" s="187"/>
      <c r="M361" s="187"/>
      <c r="N361" s="187"/>
      <c r="O361" s="187"/>
      <c r="P361" s="187"/>
      <c r="Q361" s="187"/>
      <c r="R361" s="187"/>
      <c r="S361" s="188"/>
    </row>
    <row r="362" spans="2:19" ht="12.75">
      <c r="B362" s="185"/>
      <c r="C362" s="186"/>
      <c r="D362" s="187"/>
      <c r="E362" s="187"/>
      <c r="F362" s="187"/>
      <c r="G362" s="187"/>
      <c r="H362" s="187"/>
      <c r="I362" s="187"/>
      <c r="J362" s="187"/>
      <c r="K362" s="187"/>
      <c r="L362" s="187"/>
      <c r="M362" s="187"/>
      <c r="N362" s="187"/>
      <c r="O362" s="187"/>
      <c r="P362" s="187"/>
      <c r="Q362" s="187"/>
      <c r="R362" s="187"/>
      <c r="S362" s="188"/>
    </row>
    <row r="363" spans="2:19" ht="12.75">
      <c r="B363" s="185"/>
      <c r="C363" s="186"/>
      <c r="D363" s="187"/>
      <c r="E363" s="187"/>
      <c r="F363" s="187"/>
      <c r="G363" s="187"/>
      <c r="H363" s="187"/>
      <c r="I363" s="187"/>
      <c r="J363" s="187"/>
      <c r="K363" s="187"/>
      <c r="L363" s="187"/>
      <c r="M363" s="187"/>
      <c r="N363" s="187"/>
      <c r="O363" s="187"/>
      <c r="P363" s="187"/>
      <c r="Q363" s="187"/>
      <c r="R363" s="187"/>
      <c r="S363" s="188"/>
    </row>
    <row r="364" spans="2:19" ht="12.75">
      <c r="B364" s="185"/>
      <c r="C364" s="186"/>
      <c r="D364" s="187"/>
      <c r="E364" s="187"/>
      <c r="F364" s="187"/>
      <c r="G364" s="187"/>
      <c r="H364" s="187"/>
      <c r="I364" s="187"/>
      <c r="J364" s="187"/>
      <c r="K364" s="187"/>
      <c r="L364" s="187"/>
      <c r="M364" s="187"/>
      <c r="N364" s="187"/>
      <c r="O364" s="187"/>
      <c r="P364" s="187"/>
      <c r="Q364" s="187"/>
      <c r="R364" s="187"/>
      <c r="S364" s="188"/>
    </row>
    <row r="365" spans="2:19" ht="12.75">
      <c r="B365" s="185"/>
      <c r="C365" s="186"/>
      <c r="D365" s="187"/>
      <c r="E365" s="187"/>
      <c r="F365" s="187"/>
      <c r="G365" s="187"/>
      <c r="H365" s="187"/>
      <c r="I365" s="187"/>
      <c r="J365" s="187"/>
      <c r="K365" s="187"/>
      <c r="L365" s="187"/>
      <c r="M365" s="187"/>
      <c r="N365" s="187"/>
      <c r="O365" s="187"/>
      <c r="P365" s="187"/>
      <c r="Q365" s="187"/>
      <c r="R365" s="187"/>
      <c r="S365" s="188"/>
    </row>
    <row r="366" spans="2:19" ht="12.75">
      <c r="B366" s="185"/>
      <c r="C366" s="186"/>
      <c r="D366" s="187"/>
      <c r="E366" s="187"/>
      <c r="F366" s="187"/>
      <c r="G366" s="187"/>
      <c r="H366" s="187"/>
      <c r="I366" s="187"/>
      <c r="J366" s="187"/>
      <c r="K366" s="187"/>
      <c r="L366" s="187"/>
      <c r="M366" s="187"/>
      <c r="N366" s="187"/>
      <c r="O366" s="187"/>
      <c r="P366" s="187"/>
      <c r="Q366" s="187"/>
      <c r="R366" s="187"/>
      <c r="S366" s="188"/>
    </row>
    <row r="367" spans="2:19" ht="12.75">
      <c r="B367" s="185"/>
      <c r="C367" s="186"/>
      <c r="D367" s="187"/>
      <c r="E367" s="187"/>
      <c r="F367" s="187"/>
      <c r="G367" s="187"/>
      <c r="H367" s="187"/>
      <c r="I367" s="187"/>
      <c r="J367" s="187"/>
      <c r="K367" s="187"/>
      <c r="L367" s="187"/>
      <c r="M367" s="187"/>
      <c r="N367" s="187"/>
      <c r="O367" s="187"/>
      <c r="P367" s="187"/>
      <c r="Q367" s="187"/>
      <c r="R367" s="187"/>
      <c r="S367" s="188"/>
    </row>
    <row r="368" spans="2:19" ht="12.75">
      <c r="B368" s="185"/>
      <c r="C368" s="186"/>
      <c r="D368" s="187"/>
      <c r="E368" s="187"/>
      <c r="F368" s="187"/>
      <c r="G368" s="187"/>
      <c r="H368" s="187"/>
      <c r="I368" s="187"/>
      <c r="J368" s="187"/>
      <c r="K368" s="187"/>
      <c r="L368" s="187"/>
      <c r="M368" s="187"/>
      <c r="N368" s="187"/>
      <c r="O368" s="187"/>
      <c r="P368" s="187"/>
      <c r="Q368" s="187"/>
      <c r="R368" s="187"/>
      <c r="S368" s="188"/>
    </row>
    <row r="369" spans="2:19" ht="12.75">
      <c r="B369" s="185"/>
      <c r="C369" s="186"/>
      <c r="D369" s="187"/>
      <c r="E369" s="187"/>
      <c r="F369" s="187"/>
      <c r="G369" s="187"/>
      <c r="H369" s="187"/>
      <c r="I369" s="187"/>
      <c r="J369" s="187"/>
      <c r="K369" s="187"/>
      <c r="L369" s="187"/>
      <c r="M369" s="187"/>
      <c r="N369" s="187"/>
      <c r="O369" s="187"/>
      <c r="P369" s="187"/>
      <c r="Q369" s="187"/>
      <c r="R369" s="187"/>
      <c r="S369" s="188"/>
    </row>
    <row r="370" spans="2:19" ht="12.75">
      <c r="B370" s="185"/>
      <c r="C370" s="186"/>
      <c r="D370" s="187"/>
      <c r="E370" s="187"/>
      <c r="F370" s="187"/>
      <c r="G370" s="187"/>
      <c r="H370" s="187"/>
      <c r="I370" s="187"/>
      <c r="J370" s="187"/>
      <c r="K370" s="187"/>
      <c r="L370" s="187"/>
      <c r="M370" s="187"/>
      <c r="N370" s="187"/>
      <c r="O370" s="187"/>
      <c r="P370" s="187"/>
      <c r="Q370" s="187"/>
      <c r="R370" s="187"/>
      <c r="S370" s="188"/>
    </row>
    <row r="371" spans="2:19" ht="12.75">
      <c r="B371" s="185"/>
      <c r="C371" s="186"/>
      <c r="D371" s="187"/>
      <c r="E371" s="187"/>
      <c r="F371" s="187"/>
      <c r="G371" s="187"/>
      <c r="H371" s="187"/>
      <c r="I371" s="187"/>
      <c r="J371" s="187"/>
      <c r="K371" s="187"/>
      <c r="L371" s="187"/>
      <c r="M371" s="187"/>
      <c r="N371" s="187"/>
      <c r="O371" s="187"/>
      <c r="P371" s="187"/>
      <c r="Q371" s="187"/>
      <c r="R371" s="187"/>
      <c r="S371" s="188"/>
    </row>
    <row r="372" spans="2:19" ht="12.75">
      <c r="B372" s="185"/>
      <c r="C372" s="186"/>
      <c r="D372" s="187"/>
      <c r="E372" s="187"/>
      <c r="F372" s="187"/>
      <c r="G372" s="187"/>
      <c r="H372" s="187"/>
      <c r="I372" s="187"/>
      <c r="J372" s="187"/>
      <c r="K372" s="187"/>
      <c r="L372" s="187"/>
      <c r="M372" s="187"/>
      <c r="N372" s="187"/>
      <c r="O372" s="187"/>
      <c r="P372" s="187"/>
      <c r="Q372" s="187"/>
      <c r="R372" s="187"/>
      <c r="S372" s="188"/>
    </row>
    <row r="373" spans="2:19" ht="12.75">
      <c r="B373" s="185"/>
      <c r="C373" s="186"/>
      <c r="D373" s="187"/>
      <c r="E373" s="187"/>
      <c r="F373" s="187"/>
      <c r="G373" s="187"/>
      <c r="H373" s="187"/>
      <c r="I373" s="187"/>
      <c r="J373" s="187"/>
      <c r="K373" s="187"/>
      <c r="L373" s="187"/>
      <c r="M373" s="187"/>
      <c r="N373" s="187"/>
      <c r="O373" s="187"/>
      <c r="P373" s="187"/>
      <c r="Q373" s="187"/>
      <c r="R373" s="187"/>
      <c r="S373" s="188"/>
    </row>
    <row r="374" spans="2:19" ht="12.75">
      <c r="B374" s="185"/>
      <c r="C374" s="186"/>
      <c r="D374" s="187"/>
      <c r="E374" s="187"/>
      <c r="F374" s="187"/>
      <c r="G374" s="187"/>
      <c r="H374" s="187"/>
      <c r="I374" s="187"/>
      <c r="J374" s="187"/>
      <c r="K374" s="187"/>
      <c r="L374" s="187"/>
      <c r="M374" s="187"/>
      <c r="N374" s="187"/>
      <c r="O374" s="187"/>
      <c r="P374" s="187"/>
      <c r="Q374" s="187"/>
      <c r="R374" s="187"/>
      <c r="S374" s="188"/>
    </row>
    <row r="375" spans="2:19" ht="12.75">
      <c r="B375" s="185"/>
      <c r="C375" s="186"/>
      <c r="D375" s="187"/>
      <c r="E375" s="187"/>
      <c r="F375" s="187"/>
      <c r="G375" s="187"/>
      <c r="H375" s="187"/>
      <c r="I375" s="187"/>
      <c r="J375" s="187"/>
      <c r="K375" s="187"/>
      <c r="L375" s="187"/>
      <c r="M375" s="187"/>
      <c r="N375" s="187"/>
      <c r="O375" s="187"/>
      <c r="P375" s="187"/>
      <c r="Q375" s="187"/>
      <c r="R375" s="187"/>
      <c r="S375" s="188"/>
    </row>
    <row r="376" spans="2:19" ht="12.75">
      <c r="B376" s="185"/>
      <c r="C376" s="186"/>
      <c r="D376" s="187"/>
      <c r="E376" s="187"/>
      <c r="F376" s="187"/>
      <c r="G376" s="187"/>
      <c r="H376" s="187"/>
      <c r="I376" s="187"/>
      <c r="J376" s="187"/>
      <c r="K376" s="187"/>
      <c r="L376" s="187"/>
      <c r="M376" s="187"/>
      <c r="N376" s="187"/>
      <c r="O376" s="187"/>
      <c r="P376" s="187"/>
      <c r="Q376" s="187"/>
      <c r="R376" s="187"/>
      <c r="S376" s="188"/>
    </row>
    <row r="377" spans="2:19" ht="12.75">
      <c r="B377" s="185"/>
      <c r="C377" s="186"/>
      <c r="D377" s="187"/>
      <c r="E377" s="187"/>
      <c r="F377" s="187"/>
      <c r="G377" s="187"/>
      <c r="H377" s="187"/>
      <c r="I377" s="187"/>
      <c r="J377" s="187"/>
      <c r="K377" s="187"/>
      <c r="L377" s="187"/>
      <c r="M377" s="187"/>
      <c r="N377" s="187"/>
      <c r="O377" s="187"/>
      <c r="P377" s="187"/>
      <c r="Q377" s="187"/>
      <c r="R377" s="187"/>
      <c r="S377" s="188"/>
    </row>
    <row r="378" spans="2:19" ht="12.75">
      <c r="B378" s="185"/>
      <c r="C378" s="186"/>
      <c r="D378" s="187"/>
      <c r="E378" s="187"/>
      <c r="F378" s="187"/>
      <c r="G378" s="187"/>
      <c r="H378" s="187"/>
      <c r="I378" s="187"/>
      <c r="J378" s="187"/>
      <c r="K378" s="187"/>
      <c r="L378" s="187"/>
      <c r="M378" s="187"/>
      <c r="N378" s="187"/>
      <c r="O378" s="187"/>
      <c r="P378" s="187"/>
      <c r="Q378" s="187"/>
      <c r="R378" s="187"/>
      <c r="S378" s="188"/>
    </row>
    <row r="379" spans="2:19" ht="12.75">
      <c r="B379" s="185"/>
      <c r="C379" s="186"/>
      <c r="D379" s="187"/>
      <c r="E379" s="187"/>
      <c r="F379" s="187"/>
      <c r="G379" s="187"/>
      <c r="H379" s="187"/>
      <c r="I379" s="187"/>
      <c r="J379" s="187"/>
      <c r="K379" s="187"/>
      <c r="L379" s="187"/>
      <c r="M379" s="187"/>
      <c r="N379" s="187"/>
      <c r="O379" s="187"/>
      <c r="P379" s="187"/>
      <c r="Q379" s="187"/>
      <c r="R379" s="187"/>
      <c r="S379" s="188"/>
    </row>
    <row r="380" spans="2:19" ht="12.75">
      <c r="B380" s="185"/>
      <c r="C380" s="186"/>
      <c r="D380" s="187"/>
      <c r="E380" s="187"/>
      <c r="F380" s="187"/>
      <c r="G380" s="187"/>
      <c r="H380" s="187"/>
      <c r="I380" s="187"/>
      <c r="J380" s="187"/>
      <c r="K380" s="187"/>
      <c r="L380" s="187"/>
      <c r="M380" s="187"/>
      <c r="N380" s="187"/>
      <c r="O380" s="187"/>
      <c r="P380" s="187"/>
      <c r="Q380" s="187"/>
      <c r="R380" s="187"/>
      <c r="S380" s="188"/>
    </row>
    <row r="381" spans="2:19" ht="12.75">
      <c r="B381" s="185"/>
      <c r="C381" s="186"/>
      <c r="D381" s="187"/>
      <c r="E381" s="187"/>
      <c r="F381" s="187"/>
      <c r="G381" s="187"/>
      <c r="H381" s="187"/>
      <c r="I381" s="187"/>
      <c r="J381" s="187"/>
      <c r="K381" s="187"/>
      <c r="L381" s="187"/>
      <c r="M381" s="187"/>
      <c r="N381" s="187"/>
      <c r="O381" s="187"/>
      <c r="P381" s="187"/>
      <c r="Q381" s="187"/>
      <c r="R381" s="187"/>
      <c r="S381" s="188"/>
    </row>
    <row r="382" spans="2:19" ht="12.75">
      <c r="B382" s="185"/>
      <c r="C382" s="186"/>
      <c r="D382" s="187"/>
      <c r="E382" s="187"/>
      <c r="F382" s="187"/>
      <c r="G382" s="187"/>
      <c r="H382" s="187"/>
      <c r="I382" s="187"/>
      <c r="J382" s="187"/>
      <c r="K382" s="187"/>
      <c r="L382" s="187"/>
      <c r="M382" s="187"/>
      <c r="N382" s="187"/>
      <c r="O382" s="187"/>
      <c r="P382" s="187"/>
      <c r="Q382" s="187"/>
      <c r="R382" s="187"/>
      <c r="S382" s="188"/>
    </row>
    <row r="383" spans="2:19" ht="12.75">
      <c r="B383" s="185"/>
      <c r="C383" s="186"/>
      <c r="D383" s="187"/>
      <c r="E383" s="187"/>
      <c r="F383" s="187"/>
      <c r="G383" s="187"/>
      <c r="H383" s="187"/>
      <c r="I383" s="187"/>
      <c r="J383" s="187"/>
      <c r="K383" s="187"/>
      <c r="L383" s="187"/>
      <c r="M383" s="187"/>
      <c r="N383" s="187"/>
      <c r="O383" s="187"/>
      <c r="P383" s="187"/>
      <c r="Q383" s="187"/>
      <c r="R383" s="187"/>
      <c r="S383" s="188"/>
    </row>
    <row r="384" spans="2:19" ht="12.75">
      <c r="B384" s="185"/>
      <c r="C384" s="186"/>
      <c r="D384" s="187"/>
      <c r="E384" s="187"/>
      <c r="F384" s="187"/>
      <c r="G384" s="187"/>
      <c r="H384" s="187"/>
      <c r="I384" s="187"/>
      <c r="J384" s="187"/>
      <c r="K384" s="187"/>
      <c r="L384" s="187"/>
      <c r="M384" s="187"/>
      <c r="N384" s="187"/>
      <c r="O384" s="187"/>
      <c r="P384" s="187"/>
      <c r="Q384" s="187"/>
      <c r="R384" s="187"/>
      <c r="S384" s="188"/>
    </row>
    <row r="385" spans="2:19" ht="12.75">
      <c r="B385" s="185"/>
      <c r="C385" s="186"/>
      <c r="D385" s="187"/>
      <c r="E385" s="187"/>
      <c r="F385" s="187"/>
      <c r="G385" s="187"/>
      <c r="H385" s="187"/>
      <c r="I385" s="187"/>
      <c r="J385" s="187"/>
      <c r="K385" s="187"/>
      <c r="L385" s="187"/>
      <c r="M385" s="187"/>
      <c r="N385" s="187"/>
      <c r="O385" s="187"/>
      <c r="P385" s="187"/>
      <c r="Q385" s="187"/>
      <c r="R385" s="187"/>
      <c r="S385" s="188"/>
    </row>
    <row r="386" spans="2:19" ht="12.75">
      <c r="B386" s="185"/>
      <c r="C386" s="186"/>
      <c r="D386" s="187"/>
      <c r="E386" s="187"/>
      <c r="F386" s="187"/>
      <c r="G386" s="187"/>
      <c r="H386" s="187"/>
      <c r="I386" s="187"/>
      <c r="J386" s="187"/>
      <c r="K386" s="187"/>
      <c r="L386" s="187"/>
      <c r="M386" s="187"/>
      <c r="N386" s="187"/>
      <c r="O386" s="187"/>
      <c r="P386" s="187"/>
      <c r="Q386" s="187"/>
      <c r="R386" s="187"/>
      <c r="S386" s="188"/>
    </row>
    <row r="387" spans="2:19" ht="12.75">
      <c r="B387" s="185"/>
      <c r="C387" s="186"/>
      <c r="D387" s="187"/>
      <c r="E387" s="187"/>
      <c r="F387" s="187"/>
      <c r="G387" s="187"/>
      <c r="H387" s="187"/>
      <c r="I387" s="187"/>
      <c r="J387" s="187"/>
      <c r="K387" s="187"/>
      <c r="L387" s="187"/>
      <c r="M387" s="187"/>
      <c r="N387" s="187"/>
      <c r="O387" s="187"/>
      <c r="P387" s="187"/>
      <c r="Q387" s="187"/>
      <c r="R387" s="187"/>
      <c r="S387" s="188"/>
    </row>
    <row r="388" spans="2:19" ht="12.75">
      <c r="B388" s="185"/>
      <c r="C388" s="186"/>
      <c r="D388" s="187"/>
      <c r="E388" s="187"/>
      <c r="F388" s="187"/>
      <c r="G388" s="187"/>
      <c r="H388" s="187"/>
      <c r="I388" s="187"/>
      <c r="J388" s="187"/>
      <c r="K388" s="187"/>
      <c r="L388" s="187"/>
      <c r="M388" s="187"/>
      <c r="N388" s="187"/>
      <c r="O388" s="187"/>
      <c r="P388" s="187"/>
      <c r="Q388" s="187"/>
      <c r="R388" s="187"/>
      <c r="S388" s="188"/>
    </row>
    <row r="389" spans="2:19" ht="12.75">
      <c r="B389" s="185"/>
      <c r="C389" s="186"/>
      <c r="D389" s="187"/>
      <c r="E389" s="187"/>
      <c r="F389" s="187"/>
      <c r="G389" s="187"/>
      <c r="H389" s="187"/>
      <c r="I389" s="187"/>
      <c r="J389" s="187"/>
      <c r="K389" s="187"/>
      <c r="L389" s="187"/>
      <c r="M389" s="187"/>
      <c r="N389" s="187"/>
      <c r="O389" s="187"/>
      <c r="P389" s="187"/>
      <c r="Q389" s="187"/>
      <c r="R389" s="187"/>
      <c r="S389" s="188"/>
    </row>
    <row r="390" spans="2:19" ht="12.75">
      <c r="B390" s="185"/>
      <c r="C390" s="186"/>
      <c r="D390" s="187"/>
      <c r="E390" s="187"/>
      <c r="F390" s="187"/>
      <c r="G390" s="187"/>
      <c r="H390" s="187"/>
      <c r="I390" s="187"/>
      <c r="J390" s="187"/>
      <c r="K390" s="187"/>
      <c r="L390" s="187"/>
      <c r="M390" s="187"/>
      <c r="N390" s="187"/>
      <c r="O390" s="187"/>
      <c r="P390" s="187"/>
      <c r="Q390" s="187"/>
      <c r="R390" s="187"/>
      <c r="S390" s="188"/>
    </row>
    <row r="391" spans="2:19" ht="12.75">
      <c r="B391" s="185"/>
      <c r="C391" s="186"/>
      <c r="D391" s="187"/>
      <c r="E391" s="187"/>
      <c r="F391" s="187"/>
      <c r="G391" s="187"/>
      <c r="H391" s="187"/>
      <c r="I391" s="187"/>
      <c r="J391" s="187"/>
      <c r="K391" s="187"/>
      <c r="L391" s="187"/>
      <c r="M391" s="187"/>
      <c r="N391" s="187"/>
      <c r="O391" s="187"/>
      <c r="P391" s="187"/>
      <c r="Q391" s="187"/>
      <c r="R391" s="187"/>
      <c r="S391" s="188"/>
    </row>
    <row r="392" spans="2:19" ht="12.75">
      <c r="B392" s="185"/>
      <c r="C392" s="186"/>
      <c r="D392" s="187"/>
      <c r="E392" s="187"/>
      <c r="F392" s="187"/>
      <c r="G392" s="187"/>
      <c r="H392" s="187"/>
      <c r="I392" s="187"/>
      <c r="J392" s="187"/>
      <c r="K392" s="187"/>
      <c r="L392" s="187"/>
      <c r="M392" s="187"/>
      <c r="N392" s="187"/>
      <c r="O392" s="187"/>
      <c r="P392" s="187"/>
      <c r="Q392" s="187"/>
      <c r="R392" s="187"/>
      <c r="S392" s="188"/>
    </row>
    <row r="393" spans="2:19" ht="12.75">
      <c r="B393" s="185"/>
      <c r="C393" s="186"/>
      <c r="D393" s="187"/>
      <c r="E393" s="187"/>
      <c r="F393" s="187"/>
      <c r="G393" s="187"/>
      <c r="H393" s="187"/>
      <c r="I393" s="187"/>
      <c r="J393" s="187"/>
      <c r="K393" s="187"/>
      <c r="L393" s="187"/>
      <c r="M393" s="187"/>
      <c r="N393" s="187"/>
      <c r="O393" s="187"/>
      <c r="P393" s="187"/>
      <c r="Q393" s="187"/>
      <c r="R393" s="187"/>
      <c r="S393" s="188"/>
    </row>
    <row r="394" spans="2:19" ht="12.75">
      <c r="B394" s="185"/>
      <c r="C394" s="186"/>
      <c r="D394" s="187"/>
      <c r="E394" s="187"/>
      <c r="F394" s="187"/>
      <c r="G394" s="187"/>
      <c r="H394" s="187"/>
      <c r="I394" s="187"/>
      <c r="J394" s="187"/>
      <c r="K394" s="187"/>
      <c r="L394" s="187"/>
      <c r="M394" s="187"/>
      <c r="N394" s="187"/>
      <c r="O394" s="187"/>
      <c r="P394" s="187"/>
      <c r="Q394" s="187"/>
      <c r="R394" s="187"/>
      <c r="S394" s="188"/>
    </row>
    <row r="395" spans="2:19" ht="12.75">
      <c r="B395" s="185"/>
      <c r="C395" s="186"/>
      <c r="D395" s="187"/>
      <c r="E395" s="187"/>
      <c r="F395" s="187"/>
      <c r="G395" s="187"/>
      <c r="H395" s="187"/>
      <c r="I395" s="187"/>
      <c r="J395" s="187"/>
      <c r="K395" s="187"/>
      <c r="L395" s="187"/>
      <c r="M395" s="187"/>
      <c r="N395" s="187"/>
      <c r="O395" s="187"/>
      <c r="P395" s="187"/>
      <c r="Q395" s="187"/>
      <c r="R395" s="187"/>
      <c r="S395" s="188"/>
    </row>
    <row r="396" spans="2:19" ht="12.75">
      <c r="B396" s="185"/>
      <c r="C396" s="186"/>
      <c r="D396" s="187"/>
      <c r="E396" s="187"/>
      <c r="F396" s="187"/>
      <c r="G396" s="187"/>
      <c r="H396" s="187"/>
      <c r="I396" s="187"/>
      <c r="J396" s="187"/>
      <c r="K396" s="187"/>
      <c r="L396" s="187"/>
      <c r="M396" s="187"/>
      <c r="N396" s="187"/>
      <c r="O396" s="187"/>
      <c r="P396" s="187"/>
      <c r="Q396" s="187"/>
      <c r="R396" s="187"/>
      <c r="S396" s="188"/>
    </row>
    <row r="397" spans="2:19" ht="12.75">
      <c r="B397" s="185"/>
      <c r="C397" s="186"/>
      <c r="D397" s="187"/>
      <c r="E397" s="187"/>
      <c r="F397" s="187"/>
      <c r="G397" s="187"/>
      <c r="H397" s="187"/>
      <c r="I397" s="187"/>
      <c r="J397" s="187"/>
      <c r="K397" s="187"/>
      <c r="L397" s="187"/>
      <c r="M397" s="187"/>
      <c r="N397" s="187"/>
      <c r="O397" s="187"/>
      <c r="P397" s="187"/>
      <c r="Q397" s="187"/>
      <c r="R397" s="187"/>
      <c r="S397" s="188"/>
    </row>
    <row r="398" spans="2:19" ht="12.75">
      <c r="B398" s="185"/>
      <c r="C398" s="186"/>
      <c r="D398" s="187"/>
      <c r="E398" s="187"/>
      <c r="F398" s="187"/>
      <c r="G398" s="187"/>
      <c r="H398" s="187"/>
      <c r="I398" s="187"/>
      <c r="J398" s="187"/>
      <c r="K398" s="187"/>
      <c r="L398" s="187"/>
      <c r="M398" s="187"/>
      <c r="N398" s="187"/>
      <c r="O398" s="187"/>
      <c r="P398" s="187"/>
      <c r="Q398" s="187"/>
      <c r="R398" s="187"/>
      <c r="S398" s="188"/>
    </row>
    <row r="399" spans="2:19" ht="12.75">
      <c r="B399" s="185"/>
      <c r="C399" s="186"/>
      <c r="D399" s="187"/>
      <c r="E399" s="187"/>
      <c r="F399" s="187"/>
      <c r="G399" s="187"/>
      <c r="H399" s="187"/>
      <c r="I399" s="187"/>
      <c r="J399" s="187"/>
      <c r="K399" s="187"/>
      <c r="L399" s="187"/>
      <c r="M399" s="187"/>
      <c r="N399" s="187"/>
      <c r="O399" s="187"/>
      <c r="P399" s="187"/>
      <c r="Q399" s="187"/>
      <c r="R399" s="187"/>
      <c r="S399" s="188"/>
    </row>
    <row r="400" spans="2:19" ht="12.75">
      <c r="B400" s="185"/>
      <c r="C400" s="186"/>
      <c r="D400" s="187"/>
      <c r="E400" s="187"/>
      <c r="F400" s="187"/>
      <c r="G400" s="187"/>
      <c r="H400" s="187"/>
      <c r="I400" s="187"/>
      <c r="J400" s="187"/>
      <c r="K400" s="187"/>
      <c r="L400" s="187"/>
      <c r="M400" s="187"/>
      <c r="N400" s="187"/>
      <c r="O400" s="187"/>
      <c r="P400" s="187"/>
      <c r="Q400" s="187"/>
      <c r="R400" s="187"/>
      <c r="S400" s="188"/>
    </row>
    <row r="401" spans="2:19" ht="12.75">
      <c r="B401" s="185"/>
      <c r="C401" s="186"/>
      <c r="D401" s="187"/>
      <c r="E401" s="187"/>
      <c r="F401" s="187"/>
      <c r="G401" s="187"/>
      <c r="H401" s="187"/>
      <c r="I401" s="187"/>
      <c r="J401" s="187"/>
      <c r="K401" s="187"/>
      <c r="L401" s="187"/>
      <c r="M401" s="187"/>
      <c r="N401" s="187"/>
      <c r="O401" s="187"/>
      <c r="P401" s="187"/>
      <c r="Q401" s="187"/>
      <c r="R401" s="187"/>
      <c r="S401" s="188"/>
    </row>
    <row r="402" spans="2:19" ht="12.75">
      <c r="B402" s="185"/>
      <c r="C402" s="186"/>
      <c r="D402" s="187"/>
      <c r="E402" s="187"/>
      <c r="F402" s="187"/>
      <c r="G402" s="187"/>
      <c r="H402" s="187"/>
      <c r="I402" s="187"/>
      <c r="J402" s="187"/>
      <c r="K402" s="187"/>
      <c r="L402" s="187"/>
      <c r="M402" s="187"/>
      <c r="N402" s="187"/>
      <c r="O402" s="187"/>
      <c r="P402" s="187"/>
      <c r="Q402" s="187"/>
      <c r="R402" s="187"/>
      <c r="S402" s="188"/>
    </row>
    <row r="403" spans="2:19" ht="12.75">
      <c r="B403" s="185"/>
      <c r="C403" s="186"/>
      <c r="D403" s="187"/>
      <c r="E403" s="187"/>
      <c r="F403" s="187"/>
      <c r="G403" s="187"/>
      <c r="H403" s="187"/>
      <c r="I403" s="187"/>
      <c r="J403" s="187"/>
      <c r="K403" s="187"/>
      <c r="L403" s="187"/>
      <c r="M403" s="187"/>
      <c r="N403" s="187"/>
      <c r="O403" s="187"/>
      <c r="P403" s="187"/>
      <c r="Q403" s="187"/>
      <c r="R403" s="187"/>
      <c r="S403" s="188"/>
    </row>
    <row r="404" spans="2:19" ht="12.75">
      <c r="B404" s="185"/>
      <c r="C404" s="186"/>
      <c r="D404" s="187"/>
      <c r="E404" s="187"/>
      <c r="F404" s="187"/>
      <c r="G404" s="187"/>
      <c r="H404" s="187"/>
      <c r="I404" s="187"/>
      <c r="J404" s="187"/>
      <c r="K404" s="187"/>
      <c r="L404" s="187"/>
      <c r="M404" s="187"/>
      <c r="N404" s="187"/>
      <c r="O404" s="187"/>
      <c r="P404" s="187"/>
      <c r="Q404" s="187"/>
      <c r="R404" s="187"/>
      <c r="S404" s="188"/>
    </row>
    <row r="405" spans="2:19" ht="12.75">
      <c r="B405" s="185"/>
      <c r="C405" s="186"/>
      <c r="D405" s="187"/>
      <c r="E405" s="187"/>
      <c r="F405" s="187"/>
      <c r="G405" s="187"/>
      <c r="H405" s="187"/>
      <c r="I405" s="187"/>
      <c r="J405" s="187"/>
      <c r="K405" s="187"/>
      <c r="L405" s="187"/>
      <c r="M405" s="187"/>
      <c r="N405" s="187"/>
      <c r="O405" s="187"/>
      <c r="P405" s="187"/>
      <c r="Q405" s="187"/>
      <c r="R405" s="187"/>
      <c r="S405" s="188"/>
    </row>
    <row r="406" spans="2:19" ht="12.75">
      <c r="B406" s="185"/>
      <c r="C406" s="186"/>
      <c r="D406" s="187"/>
      <c r="E406" s="187"/>
      <c r="F406" s="187"/>
      <c r="G406" s="187"/>
      <c r="H406" s="187"/>
      <c r="I406" s="187"/>
      <c r="J406" s="187"/>
      <c r="K406" s="187"/>
      <c r="L406" s="187"/>
      <c r="M406" s="187"/>
      <c r="N406" s="187"/>
      <c r="O406" s="187"/>
      <c r="P406" s="187"/>
      <c r="Q406" s="187"/>
      <c r="R406" s="187"/>
      <c r="S406" s="188"/>
    </row>
    <row r="407" spans="2:19" ht="12.75">
      <c r="B407" s="185"/>
      <c r="C407" s="186"/>
      <c r="D407" s="187"/>
      <c r="E407" s="187"/>
      <c r="F407" s="187"/>
      <c r="G407" s="187"/>
      <c r="H407" s="187"/>
      <c r="I407" s="187"/>
      <c r="J407" s="187"/>
      <c r="K407" s="187"/>
      <c r="L407" s="187"/>
      <c r="M407" s="187"/>
      <c r="N407" s="187"/>
      <c r="O407" s="187"/>
      <c r="P407" s="187"/>
      <c r="Q407" s="187"/>
      <c r="R407" s="187"/>
      <c r="S407" s="188"/>
    </row>
    <row r="408" spans="2:19" ht="12.75">
      <c r="B408" s="185"/>
      <c r="C408" s="186"/>
      <c r="D408" s="187"/>
      <c r="E408" s="187"/>
      <c r="F408" s="187"/>
      <c r="G408" s="187"/>
      <c r="H408" s="187"/>
      <c r="I408" s="187"/>
      <c r="J408" s="187"/>
      <c r="K408" s="187"/>
      <c r="L408" s="187"/>
      <c r="M408" s="187"/>
      <c r="N408" s="187"/>
      <c r="O408" s="187"/>
      <c r="P408" s="187"/>
      <c r="Q408" s="187"/>
      <c r="R408" s="187"/>
      <c r="S408" s="188"/>
    </row>
    <row r="409" spans="2:19" ht="12.75">
      <c r="B409" s="185"/>
      <c r="C409" s="186"/>
      <c r="D409" s="187"/>
      <c r="E409" s="187"/>
      <c r="F409" s="187"/>
      <c r="G409" s="187"/>
      <c r="H409" s="187"/>
      <c r="I409" s="187"/>
      <c r="J409" s="187"/>
      <c r="K409" s="187"/>
      <c r="L409" s="187"/>
      <c r="M409" s="187"/>
      <c r="N409" s="187"/>
      <c r="O409" s="187"/>
      <c r="P409" s="187"/>
      <c r="Q409" s="187"/>
      <c r="R409" s="187"/>
      <c r="S409" s="188"/>
    </row>
    <row r="410" spans="2:19" ht="12.75">
      <c r="B410" s="185"/>
      <c r="C410" s="186"/>
      <c r="D410" s="187"/>
      <c r="E410" s="187"/>
      <c r="F410" s="187"/>
      <c r="G410" s="187"/>
      <c r="H410" s="187"/>
      <c r="I410" s="187"/>
      <c r="J410" s="187"/>
      <c r="K410" s="187"/>
      <c r="L410" s="187"/>
      <c r="M410" s="187"/>
      <c r="N410" s="187"/>
      <c r="O410" s="187"/>
      <c r="P410" s="187"/>
      <c r="Q410" s="187"/>
      <c r="R410" s="187"/>
      <c r="S410" s="188"/>
    </row>
    <row r="411" spans="2:19" ht="12.75">
      <c r="B411" s="185"/>
      <c r="C411" s="186"/>
      <c r="D411" s="187"/>
      <c r="E411" s="187"/>
      <c r="F411" s="187"/>
      <c r="G411" s="187"/>
      <c r="H411" s="187"/>
      <c r="I411" s="187"/>
      <c r="J411" s="187"/>
      <c r="K411" s="187"/>
      <c r="L411" s="187"/>
      <c r="M411" s="187"/>
      <c r="N411" s="187"/>
      <c r="O411" s="187"/>
      <c r="P411" s="187"/>
      <c r="Q411" s="187"/>
      <c r="R411" s="187"/>
      <c r="S411" s="188"/>
    </row>
    <row r="412" spans="2:19" ht="12.75">
      <c r="B412" s="185"/>
      <c r="C412" s="186"/>
      <c r="D412" s="187"/>
      <c r="E412" s="187"/>
      <c r="F412" s="187"/>
      <c r="G412" s="187"/>
      <c r="H412" s="187"/>
      <c r="I412" s="187"/>
      <c r="J412" s="187"/>
      <c r="K412" s="187"/>
      <c r="L412" s="187"/>
      <c r="M412" s="187"/>
      <c r="N412" s="187"/>
      <c r="O412" s="187"/>
      <c r="P412" s="187"/>
      <c r="Q412" s="187"/>
      <c r="R412" s="187"/>
      <c r="S412" s="188"/>
    </row>
    <row r="413" spans="2:19" ht="12.75">
      <c r="B413" s="185"/>
      <c r="C413" s="186"/>
      <c r="D413" s="187"/>
      <c r="E413" s="187"/>
      <c r="F413" s="187"/>
      <c r="G413" s="187"/>
      <c r="H413" s="187"/>
      <c r="I413" s="187"/>
      <c r="J413" s="187"/>
      <c r="K413" s="187"/>
      <c r="L413" s="187"/>
      <c r="M413" s="187"/>
      <c r="N413" s="187"/>
      <c r="O413" s="187"/>
      <c r="P413" s="187"/>
      <c r="Q413" s="187"/>
      <c r="R413" s="187"/>
      <c r="S413" s="188"/>
    </row>
    <row r="414" spans="2:19" ht="12.75">
      <c r="B414" s="185"/>
      <c r="C414" s="186"/>
      <c r="D414" s="187"/>
      <c r="E414" s="187"/>
      <c r="F414" s="187"/>
      <c r="G414" s="187"/>
      <c r="H414" s="187"/>
      <c r="I414" s="187"/>
      <c r="J414" s="187"/>
      <c r="K414" s="187"/>
      <c r="L414" s="187"/>
      <c r="M414" s="187"/>
      <c r="N414" s="187"/>
      <c r="O414" s="187"/>
      <c r="P414" s="187"/>
      <c r="Q414" s="187"/>
      <c r="R414" s="187"/>
      <c r="S414" s="188"/>
    </row>
    <row r="415" spans="2:19" ht="12.75">
      <c r="B415" s="185"/>
      <c r="C415" s="186"/>
      <c r="D415" s="187"/>
      <c r="E415" s="187"/>
      <c r="F415" s="187"/>
      <c r="G415" s="187"/>
      <c r="H415" s="187"/>
      <c r="I415" s="187"/>
      <c r="J415" s="187"/>
      <c r="K415" s="187"/>
      <c r="L415" s="187"/>
      <c r="M415" s="187"/>
      <c r="N415" s="187"/>
      <c r="O415" s="187"/>
      <c r="P415" s="187"/>
      <c r="Q415" s="187"/>
      <c r="R415" s="187"/>
      <c r="S415" s="188"/>
    </row>
    <row r="416" spans="2:19" ht="12.75">
      <c r="B416" s="185"/>
      <c r="C416" s="186"/>
      <c r="D416" s="187"/>
      <c r="E416" s="187"/>
      <c r="F416" s="187"/>
      <c r="G416" s="187"/>
      <c r="H416" s="187"/>
      <c r="I416" s="187"/>
      <c r="J416" s="187"/>
      <c r="K416" s="187"/>
      <c r="L416" s="187"/>
      <c r="M416" s="187"/>
      <c r="N416" s="187"/>
      <c r="O416" s="187"/>
      <c r="P416" s="187"/>
      <c r="Q416" s="187"/>
      <c r="R416" s="187"/>
      <c r="S416" s="188"/>
    </row>
    <row r="417" spans="2:19" ht="12.75">
      <c r="B417" s="185"/>
      <c r="C417" s="186"/>
      <c r="D417" s="187"/>
      <c r="E417" s="187"/>
      <c r="F417" s="187"/>
      <c r="G417" s="187"/>
      <c r="H417" s="187"/>
      <c r="I417" s="187"/>
      <c r="J417" s="187"/>
      <c r="K417" s="187"/>
      <c r="L417" s="187"/>
      <c r="M417" s="187"/>
      <c r="N417" s="187"/>
      <c r="O417" s="187"/>
      <c r="P417" s="187"/>
      <c r="Q417" s="187"/>
      <c r="R417" s="187"/>
      <c r="S417" s="188"/>
    </row>
    <row r="418" spans="2:19" ht="12.75">
      <c r="B418" s="185"/>
      <c r="C418" s="186"/>
      <c r="D418" s="187"/>
      <c r="E418" s="187"/>
      <c r="F418" s="187"/>
      <c r="G418" s="187"/>
      <c r="H418" s="187"/>
      <c r="I418" s="187"/>
      <c r="J418" s="187"/>
      <c r="K418" s="187"/>
      <c r="L418" s="187"/>
      <c r="M418" s="187"/>
      <c r="N418" s="187"/>
      <c r="O418" s="187"/>
      <c r="P418" s="187"/>
      <c r="Q418" s="187"/>
      <c r="R418" s="187"/>
      <c r="S418" s="188"/>
    </row>
    <row r="419" spans="2:19" ht="12.75">
      <c r="B419" s="185"/>
      <c r="C419" s="186"/>
      <c r="D419" s="187"/>
      <c r="E419" s="187"/>
      <c r="F419" s="187"/>
      <c r="G419" s="187"/>
      <c r="H419" s="187"/>
      <c r="I419" s="187"/>
      <c r="J419" s="187"/>
      <c r="K419" s="187"/>
      <c r="L419" s="187"/>
      <c r="M419" s="187"/>
      <c r="N419" s="187"/>
      <c r="O419" s="187"/>
      <c r="P419" s="187"/>
      <c r="Q419" s="187"/>
      <c r="R419" s="187"/>
      <c r="S419" s="188"/>
    </row>
    <row r="420" spans="2:19" ht="12.75">
      <c r="B420" s="185"/>
      <c r="C420" s="186"/>
      <c r="D420" s="187"/>
      <c r="E420" s="187"/>
      <c r="F420" s="187"/>
      <c r="G420" s="187"/>
      <c r="H420" s="187"/>
      <c r="I420" s="187"/>
      <c r="J420" s="187"/>
      <c r="K420" s="187"/>
      <c r="L420" s="187"/>
      <c r="M420" s="187"/>
      <c r="N420" s="187"/>
      <c r="O420" s="187"/>
      <c r="P420" s="187"/>
      <c r="Q420" s="187"/>
      <c r="R420" s="187"/>
      <c r="S420" s="188"/>
    </row>
    <row r="421" spans="2:19" ht="12.75">
      <c r="B421" s="185"/>
      <c r="C421" s="186"/>
      <c r="D421" s="187"/>
      <c r="E421" s="187"/>
      <c r="F421" s="187"/>
      <c r="G421" s="187"/>
      <c r="H421" s="187"/>
      <c r="I421" s="187"/>
      <c r="J421" s="187"/>
      <c r="K421" s="187"/>
      <c r="L421" s="187"/>
      <c r="M421" s="187"/>
      <c r="N421" s="187"/>
      <c r="O421" s="187"/>
      <c r="P421" s="187"/>
      <c r="Q421" s="187"/>
      <c r="R421" s="187"/>
      <c r="S421" s="188"/>
    </row>
    <row r="422" spans="2:19" ht="12.75">
      <c r="B422" s="185"/>
      <c r="C422" s="186"/>
      <c r="D422" s="187"/>
      <c r="E422" s="187"/>
      <c r="F422" s="187"/>
      <c r="G422" s="187"/>
      <c r="H422" s="187"/>
      <c r="I422" s="187"/>
      <c r="J422" s="187"/>
      <c r="K422" s="187"/>
      <c r="L422" s="187"/>
      <c r="M422" s="187"/>
      <c r="N422" s="187"/>
      <c r="O422" s="187"/>
      <c r="P422" s="187"/>
      <c r="Q422" s="187"/>
      <c r="R422" s="187"/>
      <c r="S422" s="188"/>
    </row>
    <row r="423" spans="2:19" ht="12.75">
      <c r="B423" s="185"/>
      <c r="C423" s="186"/>
      <c r="D423" s="187"/>
      <c r="E423" s="187"/>
      <c r="F423" s="187"/>
      <c r="G423" s="187"/>
      <c r="H423" s="187"/>
      <c r="I423" s="187"/>
      <c r="J423" s="187"/>
      <c r="K423" s="187"/>
      <c r="L423" s="187"/>
      <c r="M423" s="187"/>
      <c r="N423" s="187"/>
      <c r="O423" s="187"/>
      <c r="P423" s="187"/>
      <c r="Q423" s="187"/>
      <c r="R423" s="187"/>
      <c r="S423" s="188"/>
    </row>
    <row r="424" spans="2:19" ht="12.75">
      <c r="B424" s="185"/>
      <c r="C424" s="186"/>
      <c r="D424" s="187"/>
      <c r="E424" s="187"/>
      <c r="F424" s="187"/>
      <c r="G424" s="187"/>
      <c r="H424" s="187"/>
      <c r="I424" s="187"/>
      <c r="J424" s="187"/>
      <c r="K424" s="187"/>
      <c r="L424" s="187"/>
      <c r="M424" s="187"/>
      <c r="N424" s="187"/>
      <c r="O424" s="187"/>
      <c r="P424" s="187"/>
      <c r="Q424" s="187"/>
      <c r="R424" s="187"/>
      <c r="S424" s="188"/>
    </row>
    <row r="425" spans="2:19" ht="12.75">
      <c r="B425" s="185"/>
      <c r="C425" s="186"/>
      <c r="D425" s="187"/>
      <c r="E425" s="187"/>
      <c r="F425" s="187"/>
      <c r="G425" s="187"/>
      <c r="H425" s="187"/>
      <c r="I425" s="187"/>
      <c r="J425" s="187"/>
      <c r="K425" s="187"/>
      <c r="L425" s="187"/>
      <c r="M425" s="187"/>
      <c r="N425" s="187"/>
      <c r="O425" s="187"/>
      <c r="P425" s="187"/>
      <c r="Q425" s="187"/>
      <c r="R425" s="187"/>
      <c r="S425" s="188"/>
    </row>
    <row r="426" spans="2:19" ht="12.75">
      <c r="B426" s="185"/>
      <c r="C426" s="186"/>
      <c r="D426" s="187"/>
      <c r="E426" s="187"/>
      <c r="F426" s="187"/>
      <c r="G426" s="187"/>
      <c r="H426" s="187"/>
      <c r="I426" s="187"/>
      <c r="J426" s="187"/>
      <c r="K426" s="187"/>
      <c r="L426" s="187"/>
      <c r="M426" s="187"/>
      <c r="N426" s="187"/>
      <c r="O426" s="187"/>
      <c r="P426" s="187"/>
      <c r="Q426" s="187"/>
      <c r="R426" s="187"/>
      <c r="S426" s="188"/>
    </row>
    <row r="427" spans="2:19" ht="12.75">
      <c r="B427" s="185"/>
      <c r="C427" s="186"/>
      <c r="D427" s="187"/>
      <c r="E427" s="187"/>
      <c r="F427" s="187"/>
      <c r="G427" s="187"/>
      <c r="H427" s="187"/>
      <c r="I427" s="187"/>
      <c r="J427" s="187"/>
      <c r="K427" s="187"/>
      <c r="L427" s="187"/>
      <c r="M427" s="187"/>
      <c r="N427" s="187"/>
      <c r="O427" s="187"/>
      <c r="P427" s="187"/>
      <c r="Q427" s="187"/>
      <c r="R427" s="187"/>
      <c r="S427" s="188"/>
    </row>
    <row r="428" spans="2:19" ht="12.75">
      <c r="B428" s="185"/>
      <c r="C428" s="186"/>
      <c r="D428" s="187"/>
      <c r="E428" s="187"/>
      <c r="F428" s="187"/>
      <c r="G428" s="187"/>
      <c r="H428" s="187"/>
      <c r="I428" s="187"/>
      <c r="J428" s="187"/>
      <c r="K428" s="187"/>
      <c r="L428" s="187"/>
      <c r="M428" s="187"/>
      <c r="N428" s="187"/>
      <c r="O428" s="187"/>
      <c r="P428" s="187"/>
      <c r="Q428" s="187"/>
      <c r="R428" s="187"/>
      <c r="S428" s="188"/>
    </row>
    <row r="429" spans="2:19" ht="12.75">
      <c r="B429" s="185"/>
      <c r="C429" s="186"/>
      <c r="D429" s="187"/>
      <c r="E429" s="187"/>
      <c r="F429" s="187"/>
      <c r="G429" s="187"/>
      <c r="H429" s="187"/>
      <c r="I429" s="187"/>
      <c r="J429" s="187"/>
      <c r="K429" s="187"/>
      <c r="L429" s="187"/>
      <c r="M429" s="187"/>
      <c r="N429" s="187"/>
      <c r="O429" s="187"/>
      <c r="P429" s="187"/>
      <c r="Q429" s="187"/>
      <c r="R429" s="187"/>
      <c r="S429" s="188"/>
    </row>
    <row r="430" spans="2:19" ht="12.75">
      <c r="B430" s="185"/>
      <c r="C430" s="186"/>
      <c r="D430" s="187"/>
      <c r="E430" s="187"/>
      <c r="F430" s="187"/>
      <c r="G430" s="187"/>
      <c r="H430" s="187"/>
      <c r="I430" s="187"/>
      <c r="J430" s="187"/>
      <c r="K430" s="187"/>
      <c r="L430" s="187"/>
      <c r="M430" s="187"/>
      <c r="N430" s="187"/>
      <c r="O430" s="187"/>
      <c r="P430" s="187"/>
      <c r="Q430" s="187"/>
      <c r="R430" s="187"/>
      <c r="S430" s="188"/>
    </row>
    <row r="431" spans="2:19" ht="12.75">
      <c r="B431" s="185"/>
      <c r="C431" s="186"/>
      <c r="D431" s="187"/>
      <c r="E431" s="187"/>
      <c r="F431" s="187"/>
      <c r="G431" s="187"/>
      <c r="H431" s="187"/>
      <c r="I431" s="187"/>
      <c r="J431" s="187"/>
      <c r="K431" s="187"/>
      <c r="L431" s="187"/>
      <c r="M431" s="187"/>
      <c r="N431" s="187"/>
      <c r="O431" s="187"/>
      <c r="P431" s="187"/>
      <c r="Q431" s="187"/>
      <c r="R431" s="187"/>
      <c r="S431" s="188"/>
    </row>
    <row r="432" spans="2:19" ht="12.75">
      <c r="B432" s="185"/>
      <c r="C432" s="186"/>
      <c r="D432" s="187"/>
      <c r="E432" s="187"/>
      <c r="F432" s="187"/>
      <c r="G432" s="187"/>
      <c r="H432" s="187"/>
      <c r="I432" s="187"/>
      <c r="J432" s="187"/>
      <c r="K432" s="187"/>
      <c r="L432" s="187"/>
      <c r="M432" s="187"/>
      <c r="N432" s="187"/>
      <c r="O432" s="187"/>
      <c r="P432" s="187"/>
      <c r="Q432" s="187"/>
      <c r="R432" s="187"/>
      <c r="S432" s="188"/>
    </row>
    <row r="433" spans="2:19" ht="12.75">
      <c r="B433" s="185"/>
      <c r="C433" s="186"/>
      <c r="D433" s="187"/>
      <c r="E433" s="187"/>
      <c r="F433" s="187"/>
      <c r="G433" s="187"/>
      <c r="H433" s="187"/>
      <c r="I433" s="187"/>
      <c r="J433" s="187"/>
      <c r="K433" s="187"/>
      <c r="L433" s="187"/>
      <c r="M433" s="187"/>
      <c r="N433" s="187"/>
      <c r="O433" s="187"/>
      <c r="P433" s="187"/>
      <c r="Q433" s="187"/>
      <c r="R433" s="187"/>
      <c r="S433" s="188"/>
    </row>
    <row r="434" spans="2:19" ht="12.75">
      <c r="B434" s="185"/>
      <c r="C434" s="186"/>
      <c r="D434" s="187"/>
      <c r="E434" s="187"/>
      <c r="F434" s="187"/>
      <c r="G434" s="187"/>
      <c r="H434" s="187"/>
      <c r="I434" s="187"/>
      <c r="J434" s="187"/>
      <c r="K434" s="187"/>
      <c r="L434" s="187"/>
      <c r="M434" s="187"/>
      <c r="N434" s="187"/>
      <c r="O434" s="187"/>
      <c r="P434" s="187"/>
      <c r="Q434" s="187"/>
      <c r="R434" s="187"/>
      <c r="S434" s="188"/>
    </row>
    <row r="435" spans="2:19" ht="12.75">
      <c r="B435" s="185"/>
      <c r="C435" s="186"/>
      <c r="D435" s="187"/>
      <c r="E435" s="187"/>
      <c r="F435" s="187"/>
      <c r="G435" s="187"/>
      <c r="H435" s="187"/>
      <c r="I435" s="187"/>
      <c r="J435" s="187"/>
      <c r="K435" s="187"/>
      <c r="L435" s="187"/>
      <c r="M435" s="187"/>
      <c r="N435" s="187"/>
      <c r="O435" s="187"/>
      <c r="P435" s="187"/>
      <c r="Q435" s="187"/>
      <c r="R435" s="187"/>
      <c r="S435" s="188"/>
    </row>
    <row r="436" spans="2:19" ht="12.75">
      <c r="B436" s="185"/>
      <c r="C436" s="186"/>
      <c r="D436" s="187"/>
      <c r="E436" s="187"/>
      <c r="F436" s="187"/>
      <c r="G436" s="187"/>
      <c r="H436" s="187"/>
      <c r="I436" s="187"/>
      <c r="J436" s="187"/>
      <c r="K436" s="187"/>
      <c r="L436" s="187"/>
      <c r="M436" s="187"/>
      <c r="N436" s="187"/>
      <c r="O436" s="187"/>
      <c r="P436" s="187"/>
      <c r="Q436" s="187"/>
      <c r="R436" s="187"/>
      <c r="S436" s="188"/>
    </row>
    <row r="437" spans="2:19" ht="12.75">
      <c r="B437" s="185"/>
      <c r="C437" s="186"/>
      <c r="D437" s="187"/>
      <c r="E437" s="187"/>
      <c r="F437" s="187"/>
      <c r="G437" s="187"/>
      <c r="H437" s="187"/>
      <c r="I437" s="187"/>
      <c r="J437" s="187"/>
      <c r="K437" s="187"/>
      <c r="L437" s="187"/>
      <c r="M437" s="187"/>
      <c r="N437" s="187"/>
      <c r="O437" s="187"/>
      <c r="P437" s="187"/>
      <c r="Q437" s="187"/>
      <c r="R437" s="187"/>
      <c r="S437" s="188"/>
    </row>
    <row r="438" spans="2:19" ht="12.75">
      <c r="B438" s="185"/>
      <c r="C438" s="186"/>
      <c r="D438" s="187"/>
      <c r="E438" s="187"/>
      <c r="F438" s="187"/>
      <c r="G438" s="187"/>
      <c r="H438" s="187"/>
      <c r="I438" s="187"/>
      <c r="J438" s="187"/>
      <c r="K438" s="187"/>
      <c r="L438" s="187"/>
      <c r="M438" s="187"/>
      <c r="N438" s="187"/>
      <c r="O438" s="187"/>
      <c r="P438" s="187"/>
      <c r="Q438" s="187"/>
      <c r="R438" s="187"/>
      <c r="S438" s="188"/>
    </row>
    <row r="439" spans="2:19" ht="12.75">
      <c r="B439" s="185"/>
      <c r="C439" s="186"/>
      <c r="D439" s="187"/>
      <c r="E439" s="187"/>
      <c r="F439" s="187"/>
      <c r="G439" s="187"/>
      <c r="H439" s="187"/>
      <c r="I439" s="187"/>
      <c r="J439" s="187"/>
      <c r="K439" s="187"/>
      <c r="L439" s="187"/>
      <c r="M439" s="187"/>
      <c r="N439" s="187"/>
      <c r="O439" s="187"/>
      <c r="P439" s="187"/>
      <c r="Q439" s="187"/>
      <c r="R439" s="187"/>
      <c r="S439" s="188"/>
    </row>
    <row r="440" spans="2:19" ht="12.75">
      <c r="B440" s="185"/>
      <c r="C440" s="186"/>
      <c r="D440" s="187"/>
      <c r="E440" s="187"/>
      <c r="F440" s="187"/>
      <c r="G440" s="187"/>
      <c r="H440" s="187"/>
      <c r="I440" s="187"/>
      <c r="J440" s="187"/>
      <c r="K440" s="187"/>
      <c r="L440" s="187"/>
      <c r="M440" s="187"/>
      <c r="N440" s="187"/>
      <c r="O440" s="187"/>
      <c r="P440" s="187"/>
      <c r="Q440" s="187"/>
      <c r="R440" s="187"/>
      <c r="S440" s="188"/>
    </row>
    <row r="441" spans="2:19" ht="12.75">
      <c r="B441" s="185"/>
      <c r="C441" s="186"/>
      <c r="D441" s="187"/>
      <c r="E441" s="187"/>
      <c r="F441" s="187"/>
      <c r="G441" s="187"/>
      <c r="H441" s="187"/>
      <c r="I441" s="187"/>
      <c r="J441" s="187"/>
      <c r="K441" s="187"/>
      <c r="L441" s="187"/>
      <c r="M441" s="187"/>
      <c r="N441" s="187"/>
      <c r="O441" s="187"/>
      <c r="P441" s="187"/>
      <c r="Q441" s="187"/>
      <c r="R441" s="187"/>
      <c r="S441" s="188"/>
    </row>
    <row r="442" spans="2:19" ht="12.75">
      <c r="B442" s="185"/>
      <c r="C442" s="186"/>
      <c r="D442" s="187"/>
      <c r="E442" s="187"/>
      <c r="F442" s="187"/>
      <c r="G442" s="187"/>
      <c r="H442" s="187"/>
      <c r="I442" s="187"/>
      <c r="J442" s="187"/>
      <c r="K442" s="187"/>
      <c r="L442" s="187"/>
      <c r="M442" s="187"/>
      <c r="N442" s="187"/>
      <c r="O442" s="187"/>
      <c r="P442" s="187"/>
      <c r="Q442" s="187"/>
      <c r="R442" s="187"/>
      <c r="S442" s="188"/>
    </row>
    <row r="443" spans="2:19" ht="12.75">
      <c r="B443" s="185"/>
      <c r="C443" s="186"/>
      <c r="D443" s="187"/>
      <c r="E443" s="187"/>
      <c r="F443" s="187"/>
      <c r="G443" s="187"/>
      <c r="H443" s="187"/>
      <c r="I443" s="187"/>
      <c r="J443" s="187"/>
      <c r="K443" s="187"/>
      <c r="L443" s="187"/>
      <c r="M443" s="187"/>
      <c r="N443" s="187"/>
      <c r="O443" s="187"/>
      <c r="P443" s="187"/>
      <c r="Q443" s="187"/>
      <c r="R443" s="187"/>
      <c r="S443" s="188"/>
    </row>
    <row r="444" spans="2:19" ht="12.75">
      <c r="B444" s="185"/>
      <c r="C444" s="186"/>
      <c r="D444" s="187"/>
      <c r="E444" s="187"/>
      <c r="F444" s="187"/>
      <c r="G444" s="187"/>
      <c r="H444" s="187"/>
      <c r="I444" s="187"/>
      <c r="J444" s="187"/>
      <c r="K444" s="187"/>
      <c r="L444" s="187"/>
      <c r="M444" s="187"/>
      <c r="N444" s="187"/>
      <c r="O444" s="187"/>
      <c r="P444" s="187"/>
      <c r="Q444" s="187"/>
      <c r="R444" s="187"/>
      <c r="S444" s="188"/>
    </row>
    <row r="445" spans="2:19" ht="12.75">
      <c r="B445" s="185"/>
      <c r="C445" s="186"/>
      <c r="D445" s="187"/>
      <c r="E445" s="187"/>
      <c r="F445" s="187"/>
      <c r="G445" s="187"/>
      <c r="H445" s="187"/>
      <c r="I445" s="187"/>
      <c r="J445" s="187"/>
      <c r="K445" s="187"/>
      <c r="L445" s="187"/>
      <c r="M445" s="187"/>
      <c r="N445" s="187"/>
      <c r="O445" s="187"/>
      <c r="P445" s="187"/>
      <c r="Q445" s="187"/>
      <c r="R445" s="187"/>
      <c r="S445" s="188"/>
    </row>
    <row r="446" spans="2:19" ht="12.75">
      <c r="B446" s="185"/>
      <c r="C446" s="186"/>
      <c r="D446" s="187"/>
      <c r="E446" s="187"/>
      <c r="F446" s="187"/>
      <c r="G446" s="187"/>
      <c r="H446" s="187"/>
      <c r="I446" s="187"/>
      <c r="J446" s="187"/>
      <c r="K446" s="187"/>
      <c r="L446" s="187"/>
      <c r="M446" s="187"/>
      <c r="N446" s="187"/>
      <c r="O446" s="187"/>
      <c r="P446" s="187"/>
      <c r="Q446" s="187"/>
      <c r="R446" s="187"/>
      <c r="S446" s="188"/>
    </row>
    <row r="447" spans="2:19" ht="12.75">
      <c r="B447" s="185"/>
      <c r="C447" s="186"/>
      <c r="D447" s="187"/>
      <c r="E447" s="187"/>
      <c r="F447" s="187"/>
      <c r="G447" s="187"/>
      <c r="H447" s="187"/>
      <c r="I447" s="187"/>
      <c r="J447" s="187"/>
      <c r="K447" s="187"/>
      <c r="L447" s="187"/>
      <c r="M447" s="187"/>
      <c r="N447" s="187"/>
      <c r="O447" s="187"/>
      <c r="P447" s="187"/>
      <c r="Q447" s="187"/>
      <c r="R447" s="187"/>
      <c r="S447" s="188"/>
    </row>
    <row r="448" spans="2:19" ht="12.75">
      <c r="B448" s="185"/>
      <c r="C448" s="186"/>
      <c r="D448" s="187"/>
      <c r="E448" s="187"/>
      <c r="F448" s="187"/>
      <c r="G448" s="187"/>
      <c r="H448" s="187"/>
      <c r="I448" s="187"/>
      <c r="J448" s="187"/>
      <c r="K448" s="187"/>
      <c r="L448" s="187"/>
      <c r="M448" s="187"/>
      <c r="N448" s="187"/>
      <c r="O448" s="187"/>
      <c r="P448" s="187"/>
      <c r="Q448" s="187"/>
      <c r="R448" s="187"/>
      <c r="S448" s="188"/>
    </row>
    <row r="449" spans="2:19" ht="12.75">
      <c r="B449" s="185"/>
      <c r="C449" s="186"/>
      <c r="D449" s="187"/>
      <c r="E449" s="187"/>
      <c r="F449" s="187"/>
      <c r="G449" s="187"/>
      <c r="H449" s="187"/>
      <c r="I449" s="187"/>
      <c r="J449" s="187"/>
      <c r="K449" s="187"/>
      <c r="L449" s="187"/>
      <c r="M449" s="187"/>
      <c r="N449" s="187"/>
      <c r="O449" s="187"/>
      <c r="P449" s="187"/>
      <c r="Q449" s="187"/>
      <c r="R449" s="187"/>
      <c r="S449" s="188"/>
    </row>
    <row r="450" spans="2:19" ht="12.75">
      <c r="B450" s="185"/>
      <c r="C450" s="186"/>
      <c r="D450" s="187"/>
      <c r="E450" s="187"/>
      <c r="F450" s="187"/>
      <c r="G450" s="187"/>
      <c r="H450" s="187"/>
      <c r="I450" s="187"/>
      <c r="J450" s="187"/>
      <c r="K450" s="187"/>
      <c r="L450" s="187"/>
      <c r="M450" s="187"/>
      <c r="N450" s="187"/>
      <c r="O450" s="187"/>
      <c r="P450" s="187"/>
      <c r="Q450" s="187"/>
      <c r="R450" s="187"/>
      <c r="S450" s="188"/>
    </row>
    <row r="451" spans="2:19" ht="12.75">
      <c r="B451" s="185"/>
      <c r="C451" s="186"/>
      <c r="D451" s="187"/>
      <c r="E451" s="187"/>
      <c r="F451" s="187"/>
      <c r="G451" s="187"/>
      <c r="H451" s="187"/>
      <c r="I451" s="187"/>
      <c r="J451" s="187"/>
      <c r="K451" s="187"/>
      <c r="L451" s="187"/>
      <c r="M451" s="187"/>
      <c r="N451" s="187"/>
      <c r="O451" s="187"/>
      <c r="P451" s="187"/>
      <c r="Q451" s="187"/>
      <c r="R451" s="187"/>
      <c r="S451" s="188"/>
    </row>
    <row r="452" spans="2:19" ht="12.75">
      <c r="B452" s="185"/>
      <c r="C452" s="186"/>
      <c r="D452" s="187"/>
      <c r="E452" s="187"/>
      <c r="F452" s="187"/>
      <c r="G452" s="187"/>
      <c r="H452" s="187"/>
      <c r="I452" s="187"/>
      <c r="J452" s="187"/>
      <c r="K452" s="187"/>
      <c r="L452" s="187"/>
      <c r="M452" s="187"/>
      <c r="N452" s="187"/>
      <c r="O452" s="187"/>
      <c r="P452" s="187"/>
      <c r="Q452" s="187"/>
      <c r="R452" s="187"/>
      <c r="S452" s="188"/>
    </row>
    <row r="453" spans="2:19" ht="12.75">
      <c r="B453" s="185"/>
      <c r="C453" s="186"/>
      <c r="D453" s="187"/>
      <c r="E453" s="187"/>
      <c r="F453" s="187"/>
      <c r="G453" s="187"/>
      <c r="H453" s="187"/>
      <c r="I453" s="187"/>
      <c r="J453" s="187"/>
      <c r="K453" s="187"/>
      <c r="L453" s="187"/>
      <c r="M453" s="187"/>
      <c r="N453" s="187"/>
      <c r="O453" s="187"/>
      <c r="P453" s="187"/>
      <c r="Q453" s="187"/>
      <c r="R453" s="187"/>
      <c r="S453" s="188"/>
    </row>
    <row r="454" spans="2:19" ht="12.75">
      <c r="B454" s="185"/>
      <c r="C454" s="186"/>
      <c r="D454" s="187"/>
      <c r="E454" s="187"/>
      <c r="F454" s="187"/>
      <c r="G454" s="187"/>
      <c r="H454" s="187"/>
      <c r="I454" s="187"/>
      <c r="J454" s="187"/>
      <c r="K454" s="187"/>
      <c r="L454" s="187"/>
      <c r="M454" s="187"/>
      <c r="N454" s="187"/>
      <c r="O454" s="187"/>
      <c r="P454" s="187"/>
      <c r="Q454" s="187"/>
      <c r="R454" s="187"/>
      <c r="S454" s="188"/>
    </row>
    <row r="455" spans="2:19" ht="12.75">
      <c r="B455" s="185"/>
      <c r="C455" s="186"/>
      <c r="D455" s="187"/>
      <c r="E455" s="187"/>
      <c r="F455" s="187"/>
      <c r="G455" s="187"/>
      <c r="H455" s="187"/>
      <c r="I455" s="187"/>
      <c r="J455" s="187"/>
      <c r="K455" s="187"/>
      <c r="L455" s="187"/>
      <c r="M455" s="187"/>
      <c r="N455" s="187"/>
      <c r="O455" s="187"/>
      <c r="P455" s="187"/>
      <c r="Q455" s="187"/>
      <c r="R455" s="187"/>
      <c r="S455" s="188"/>
    </row>
    <row r="456" spans="2:19" ht="12.75">
      <c r="B456" s="185"/>
      <c r="C456" s="186"/>
      <c r="D456" s="187"/>
      <c r="E456" s="187"/>
      <c r="F456" s="187"/>
      <c r="G456" s="187"/>
      <c r="H456" s="187"/>
      <c r="I456" s="187"/>
      <c r="J456" s="187"/>
      <c r="K456" s="187"/>
      <c r="L456" s="187"/>
      <c r="M456" s="187"/>
      <c r="N456" s="187"/>
      <c r="O456" s="187"/>
      <c r="P456" s="187"/>
      <c r="Q456" s="187"/>
      <c r="R456" s="187"/>
      <c r="S456" s="188"/>
    </row>
    <row r="457" spans="2:19" ht="12.75">
      <c r="B457" s="185"/>
      <c r="C457" s="186"/>
      <c r="D457" s="187"/>
      <c r="E457" s="187"/>
      <c r="F457" s="187"/>
      <c r="G457" s="187"/>
      <c r="H457" s="187"/>
      <c r="I457" s="187"/>
      <c r="J457" s="187"/>
      <c r="K457" s="187"/>
      <c r="L457" s="187"/>
      <c r="M457" s="187"/>
      <c r="N457" s="187"/>
      <c r="O457" s="187"/>
      <c r="P457" s="187"/>
      <c r="Q457" s="187"/>
      <c r="R457" s="187"/>
      <c r="S457" s="188"/>
    </row>
    <row r="458" spans="2:19" ht="12.75">
      <c r="B458" s="185"/>
      <c r="C458" s="186"/>
      <c r="D458" s="187"/>
      <c r="E458" s="187"/>
      <c r="F458" s="187"/>
      <c r="G458" s="187"/>
      <c r="H458" s="187"/>
      <c r="I458" s="187"/>
      <c r="J458" s="187"/>
      <c r="K458" s="187"/>
      <c r="L458" s="187"/>
      <c r="M458" s="187"/>
      <c r="N458" s="187"/>
      <c r="O458" s="187"/>
      <c r="P458" s="187"/>
      <c r="Q458" s="187"/>
      <c r="R458" s="187"/>
      <c r="S458" s="188"/>
    </row>
    <row r="459" spans="2:19" ht="12.75">
      <c r="B459" s="185"/>
      <c r="C459" s="186"/>
      <c r="D459" s="187"/>
      <c r="E459" s="187"/>
      <c r="F459" s="187"/>
      <c r="G459" s="187"/>
      <c r="H459" s="187"/>
      <c r="I459" s="187"/>
      <c r="J459" s="187"/>
      <c r="K459" s="187"/>
      <c r="L459" s="187"/>
      <c r="M459" s="187"/>
      <c r="N459" s="187"/>
      <c r="O459" s="187"/>
      <c r="P459" s="187"/>
      <c r="Q459" s="187"/>
      <c r="R459" s="187"/>
      <c r="S459" s="188"/>
    </row>
    <row r="460" spans="2:19" ht="12.75">
      <c r="B460" s="185"/>
      <c r="C460" s="186"/>
      <c r="D460" s="187"/>
      <c r="E460" s="187"/>
      <c r="F460" s="187"/>
      <c r="G460" s="187"/>
      <c r="H460" s="187"/>
      <c r="I460" s="187"/>
      <c r="J460" s="187"/>
      <c r="K460" s="187"/>
      <c r="L460" s="187"/>
      <c r="M460" s="187"/>
      <c r="N460" s="187"/>
      <c r="O460" s="187"/>
      <c r="P460" s="187"/>
      <c r="Q460" s="187"/>
      <c r="R460" s="187"/>
      <c r="S460" s="188"/>
    </row>
    <row r="461" spans="2:19" ht="12.75">
      <c r="B461" s="185"/>
      <c r="C461" s="186"/>
      <c r="D461" s="187"/>
      <c r="E461" s="187"/>
      <c r="F461" s="187"/>
      <c r="G461" s="187"/>
      <c r="H461" s="187"/>
      <c r="I461" s="187"/>
      <c r="J461" s="187"/>
      <c r="K461" s="187"/>
      <c r="L461" s="187"/>
      <c r="M461" s="187"/>
      <c r="N461" s="187"/>
      <c r="O461" s="187"/>
      <c r="P461" s="187"/>
      <c r="Q461" s="187"/>
      <c r="R461" s="187"/>
      <c r="S461" s="188"/>
    </row>
    <row r="462" spans="2:19" ht="12.75">
      <c r="B462" s="185"/>
      <c r="C462" s="186"/>
      <c r="D462" s="187"/>
      <c r="E462" s="187"/>
      <c r="F462" s="187"/>
      <c r="G462" s="187"/>
      <c r="H462" s="187"/>
      <c r="I462" s="187"/>
      <c r="J462" s="187"/>
      <c r="K462" s="187"/>
      <c r="L462" s="187"/>
      <c r="M462" s="187"/>
      <c r="N462" s="187"/>
      <c r="O462" s="187"/>
      <c r="P462" s="187"/>
      <c r="Q462" s="187"/>
      <c r="R462" s="187"/>
      <c r="S462" s="188"/>
    </row>
    <row r="463" spans="2:19" ht="12.75">
      <c r="B463" s="185"/>
      <c r="C463" s="186"/>
      <c r="D463" s="187"/>
      <c r="E463" s="187"/>
      <c r="F463" s="187"/>
      <c r="G463" s="187"/>
      <c r="H463" s="187"/>
      <c r="I463" s="187"/>
      <c r="J463" s="187"/>
      <c r="K463" s="187"/>
      <c r="L463" s="187"/>
      <c r="M463" s="187"/>
      <c r="N463" s="187"/>
      <c r="O463" s="187"/>
      <c r="P463" s="187"/>
      <c r="Q463" s="187"/>
      <c r="R463" s="187"/>
      <c r="S463" s="188"/>
    </row>
    <row r="464" spans="2:19" ht="12.75">
      <c r="B464" s="185"/>
      <c r="C464" s="186"/>
      <c r="D464" s="187"/>
      <c r="E464" s="187"/>
      <c r="F464" s="187"/>
      <c r="G464" s="187"/>
      <c r="H464" s="187"/>
      <c r="I464" s="187"/>
      <c r="J464" s="187"/>
      <c r="K464" s="187"/>
      <c r="L464" s="187"/>
      <c r="M464" s="187"/>
      <c r="N464" s="187"/>
      <c r="O464" s="187"/>
      <c r="P464" s="187"/>
      <c r="Q464" s="187"/>
      <c r="R464" s="187"/>
      <c r="S464" s="188"/>
    </row>
    <row r="465" spans="2:19" ht="12.75">
      <c r="B465" s="185"/>
      <c r="C465" s="186"/>
      <c r="D465" s="187"/>
      <c r="E465" s="187"/>
      <c r="F465" s="187"/>
      <c r="G465" s="187"/>
      <c r="H465" s="187"/>
      <c r="I465" s="187"/>
      <c r="J465" s="187"/>
      <c r="K465" s="187"/>
      <c r="L465" s="187"/>
      <c r="M465" s="187"/>
      <c r="N465" s="187"/>
      <c r="O465" s="187"/>
      <c r="P465" s="187"/>
      <c r="Q465" s="187"/>
      <c r="R465" s="187"/>
      <c r="S465" s="188"/>
    </row>
    <row r="466" spans="2:19" ht="12.75">
      <c r="B466" s="185"/>
      <c r="C466" s="186"/>
      <c r="D466" s="187"/>
      <c r="E466" s="187"/>
      <c r="F466" s="187"/>
      <c r="G466" s="187"/>
      <c r="H466" s="187"/>
      <c r="I466" s="187"/>
      <c r="J466" s="187"/>
      <c r="K466" s="187"/>
      <c r="L466" s="187"/>
      <c r="M466" s="187"/>
      <c r="N466" s="187"/>
      <c r="O466" s="187"/>
      <c r="P466" s="187"/>
      <c r="Q466" s="187"/>
      <c r="R466" s="187"/>
      <c r="S466" s="188"/>
    </row>
    <row r="467" spans="2:19" ht="12.75">
      <c r="B467" s="185"/>
      <c r="C467" s="186"/>
      <c r="D467" s="187"/>
      <c r="E467" s="187"/>
      <c r="F467" s="187"/>
      <c r="G467" s="187"/>
      <c r="H467" s="187"/>
      <c r="I467" s="187"/>
      <c r="J467" s="187"/>
      <c r="K467" s="187"/>
      <c r="L467" s="187"/>
      <c r="M467" s="187"/>
      <c r="N467" s="187"/>
      <c r="O467" s="187"/>
      <c r="P467" s="187"/>
      <c r="Q467" s="187"/>
      <c r="R467" s="187"/>
      <c r="S467" s="188"/>
    </row>
    <row r="468" spans="2:19" ht="12.75">
      <c r="B468" s="185"/>
      <c r="C468" s="186"/>
      <c r="D468" s="187"/>
      <c r="E468" s="187"/>
      <c r="F468" s="187"/>
      <c r="G468" s="187"/>
      <c r="H468" s="187"/>
      <c r="I468" s="187"/>
      <c r="J468" s="187"/>
      <c r="K468" s="187"/>
      <c r="L468" s="187"/>
      <c r="M468" s="187"/>
      <c r="N468" s="187"/>
      <c r="O468" s="187"/>
      <c r="P468" s="187"/>
      <c r="Q468" s="187"/>
      <c r="R468" s="187"/>
      <c r="S468" s="188"/>
    </row>
    <row r="469" spans="2:19" ht="12.75">
      <c r="B469" s="185"/>
      <c r="C469" s="186"/>
      <c r="D469" s="187"/>
      <c r="E469" s="187"/>
      <c r="F469" s="187"/>
      <c r="G469" s="187"/>
      <c r="H469" s="187"/>
      <c r="I469" s="187"/>
      <c r="J469" s="187"/>
      <c r="K469" s="187"/>
      <c r="L469" s="187"/>
      <c r="M469" s="187"/>
      <c r="N469" s="187"/>
      <c r="O469" s="187"/>
      <c r="P469" s="187"/>
      <c r="Q469" s="187"/>
      <c r="R469" s="187"/>
      <c r="S469" s="188"/>
    </row>
    <row r="470" spans="2:19" ht="12.75">
      <c r="B470" s="185"/>
      <c r="C470" s="186"/>
      <c r="D470" s="187"/>
      <c r="E470" s="187"/>
      <c r="F470" s="187"/>
      <c r="G470" s="187"/>
      <c r="H470" s="187"/>
      <c r="I470" s="187"/>
      <c r="J470" s="187"/>
      <c r="K470" s="187"/>
      <c r="L470" s="187"/>
      <c r="M470" s="187"/>
      <c r="N470" s="187"/>
      <c r="O470" s="187"/>
      <c r="P470" s="187"/>
      <c r="Q470" s="187"/>
      <c r="R470" s="187"/>
      <c r="S470" s="188"/>
    </row>
    <row r="471" spans="2:19" ht="12.75">
      <c r="B471" s="185"/>
      <c r="C471" s="186"/>
      <c r="D471" s="187"/>
      <c r="E471" s="187"/>
      <c r="F471" s="187"/>
      <c r="G471" s="187"/>
      <c r="H471" s="187"/>
      <c r="I471" s="187"/>
      <c r="J471" s="187"/>
      <c r="K471" s="187"/>
      <c r="L471" s="187"/>
      <c r="M471" s="187"/>
      <c r="N471" s="187"/>
      <c r="O471" s="187"/>
      <c r="P471" s="187"/>
      <c r="Q471" s="187"/>
      <c r="R471" s="187"/>
      <c r="S471" s="188"/>
    </row>
    <row r="472" spans="2:19" ht="12.75">
      <c r="B472" s="185"/>
      <c r="C472" s="186"/>
      <c r="D472" s="187"/>
      <c r="E472" s="187"/>
      <c r="F472" s="187"/>
      <c r="G472" s="187"/>
      <c r="H472" s="187"/>
      <c r="I472" s="187"/>
      <c r="J472" s="187"/>
      <c r="K472" s="187"/>
      <c r="L472" s="187"/>
      <c r="M472" s="187"/>
      <c r="N472" s="187"/>
      <c r="O472" s="187"/>
      <c r="P472" s="187"/>
      <c r="Q472" s="187"/>
      <c r="R472" s="187"/>
      <c r="S472" s="188"/>
    </row>
    <row r="473" spans="2:19" ht="12.75">
      <c r="B473" s="185"/>
      <c r="C473" s="186"/>
      <c r="D473" s="187"/>
      <c r="E473" s="187"/>
      <c r="F473" s="187"/>
      <c r="G473" s="187"/>
      <c r="H473" s="187"/>
      <c r="I473" s="187"/>
      <c r="J473" s="187"/>
      <c r="K473" s="187"/>
      <c r="L473" s="187"/>
      <c r="M473" s="187"/>
      <c r="N473" s="187"/>
      <c r="O473" s="187"/>
      <c r="P473" s="187"/>
      <c r="Q473" s="187"/>
      <c r="R473" s="187"/>
      <c r="S473" s="188"/>
    </row>
    <row r="474" spans="2:19" ht="12.75">
      <c r="B474" s="185"/>
      <c r="C474" s="186"/>
      <c r="D474" s="187"/>
      <c r="E474" s="187"/>
      <c r="F474" s="187"/>
      <c r="G474" s="187"/>
      <c r="H474" s="187"/>
      <c r="I474" s="187"/>
      <c r="J474" s="187"/>
      <c r="K474" s="187"/>
      <c r="L474" s="187"/>
      <c r="M474" s="187"/>
      <c r="N474" s="187"/>
      <c r="O474" s="187"/>
      <c r="P474" s="187"/>
      <c r="Q474" s="187"/>
      <c r="R474" s="187"/>
      <c r="S474" s="188"/>
    </row>
    <row r="475" spans="2:19" ht="12.75">
      <c r="B475" s="185"/>
      <c r="C475" s="186"/>
      <c r="D475" s="187"/>
      <c r="E475" s="187"/>
      <c r="F475" s="187"/>
      <c r="G475" s="187"/>
      <c r="H475" s="187"/>
      <c r="I475" s="187"/>
      <c r="J475" s="187"/>
      <c r="K475" s="187"/>
      <c r="L475" s="187"/>
      <c r="M475" s="187"/>
      <c r="N475" s="187"/>
      <c r="O475" s="187"/>
      <c r="P475" s="187"/>
      <c r="Q475" s="187"/>
      <c r="R475" s="187"/>
      <c r="S475" s="188"/>
    </row>
    <row r="476" spans="2:19" ht="12.75">
      <c r="B476" s="185"/>
      <c r="C476" s="186"/>
      <c r="D476" s="187"/>
      <c r="E476" s="187"/>
      <c r="F476" s="187"/>
      <c r="G476" s="187"/>
      <c r="H476" s="187"/>
      <c r="I476" s="187"/>
      <c r="J476" s="187"/>
      <c r="K476" s="187"/>
      <c r="L476" s="187"/>
      <c r="M476" s="187"/>
      <c r="N476" s="187"/>
      <c r="O476" s="187"/>
      <c r="P476" s="187"/>
      <c r="Q476" s="187"/>
      <c r="R476" s="187"/>
      <c r="S476" s="188"/>
    </row>
    <row r="477" spans="2:19" ht="12.75">
      <c r="B477" s="185"/>
      <c r="C477" s="186"/>
      <c r="D477" s="187"/>
      <c r="E477" s="187"/>
      <c r="F477" s="187"/>
      <c r="G477" s="187"/>
      <c r="H477" s="187"/>
      <c r="I477" s="187"/>
      <c r="J477" s="187"/>
      <c r="K477" s="187"/>
      <c r="L477" s="187"/>
      <c r="M477" s="187"/>
      <c r="N477" s="187"/>
      <c r="O477" s="187"/>
      <c r="P477" s="187"/>
      <c r="Q477" s="187"/>
      <c r="R477" s="187"/>
      <c r="S477" s="188"/>
    </row>
    <row r="478" spans="2:19" ht="12.75">
      <c r="B478" s="185"/>
      <c r="C478" s="186"/>
      <c r="D478" s="187"/>
      <c r="E478" s="187"/>
      <c r="F478" s="187"/>
      <c r="G478" s="187"/>
      <c r="H478" s="187"/>
      <c r="I478" s="187"/>
      <c r="J478" s="187"/>
      <c r="K478" s="187"/>
      <c r="L478" s="187"/>
      <c r="M478" s="187"/>
      <c r="N478" s="187"/>
      <c r="O478" s="187"/>
      <c r="P478" s="187"/>
      <c r="Q478" s="187"/>
      <c r="R478" s="187"/>
      <c r="S478" s="188"/>
    </row>
    <row r="479" spans="2:19" ht="12.75">
      <c r="B479" s="185"/>
      <c r="C479" s="186"/>
      <c r="D479" s="187"/>
      <c r="E479" s="187"/>
      <c r="F479" s="187"/>
      <c r="G479" s="187"/>
      <c r="H479" s="187"/>
      <c r="I479" s="187"/>
      <c r="J479" s="187"/>
      <c r="K479" s="187"/>
      <c r="L479" s="187"/>
      <c r="M479" s="187"/>
      <c r="N479" s="187"/>
      <c r="O479" s="187"/>
      <c r="P479" s="187"/>
      <c r="Q479" s="187"/>
      <c r="R479" s="187"/>
      <c r="S479" s="188"/>
    </row>
    <row r="480" spans="2:19" ht="12.75">
      <c r="B480" s="185"/>
      <c r="C480" s="186"/>
      <c r="D480" s="187"/>
      <c r="E480" s="187"/>
      <c r="F480" s="187"/>
      <c r="G480" s="187"/>
      <c r="H480" s="187"/>
      <c r="I480" s="187"/>
      <c r="J480" s="187"/>
      <c r="K480" s="187"/>
      <c r="L480" s="187"/>
      <c r="M480" s="187"/>
      <c r="N480" s="187"/>
      <c r="O480" s="187"/>
      <c r="P480" s="187"/>
      <c r="Q480" s="187"/>
      <c r="R480" s="187"/>
      <c r="S480" s="188"/>
    </row>
    <row r="481" spans="2:19" ht="12.75">
      <c r="B481" s="185"/>
      <c r="C481" s="186"/>
      <c r="D481" s="187"/>
      <c r="E481" s="187"/>
      <c r="F481" s="187"/>
      <c r="G481" s="187"/>
      <c r="H481" s="187"/>
      <c r="I481" s="187"/>
      <c r="J481" s="187"/>
      <c r="K481" s="187"/>
      <c r="L481" s="187"/>
      <c r="M481" s="187"/>
      <c r="N481" s="187"/>
      <c r="O481" s="187"/>
      <c r="P481" s="187"/>
      <c r="Q481" s="187"/>
      <c r="R481" s="187"/>
      <c r="S481" s="188"/>
    </row>
    <row r="482" spans="2:19" ht="12.75">
      <c r="B482" s="185"/>
      <c r="C482" s="186"/>
      <c r="D482" s="187"/>
      <c r="E482" s="187"/>
      <c r="F482" s="187"/>
      <c r="G482" s="187"/>
      <c r="H482" s="187"/>
      <c r="I482" s="187"/>
      <c r="J482" s="187"/>
      <c r="K482" s="187"/>
      <c r="L482" s="187"/>
      <c r="M482" s="187"/>
      <c r="N482" s="187"/>
      <c r="O482" s="187"/>
      <c r="P482" s="187"/>
      <c r="Q482" s="187"/>
      <c r="R482" s="187"/>
      <c r="S482" s="188"/>
    </row>
    <row r="483" spans="2:19" ht="12.75">
      <c r="B483" s="185"/>
      <c r="C483" s="186"/>
      <c r="D483" s="187"/>
      <c r="E483" s="187"/>
      <c r="F483" s="187"/>
      <c r="G483" s="187"/>
      <c r="H483" s="187"/>
      <c r="I483" s="187"/>
      <c r="J483" s="187"/>
      <c r="K483" s="187"/>
      <c r="L483" s="187"/>
      <c r="M483" s="187"/>
      <c r="N483" s="187"/>
      <c r="O483" s="187"/>
      <c r="P483" s="187"/>
      <c r="Q483" s="187"/>
      <c r="R483" s="187"/>
      <c r="S483" s="188"/>
    </row>
    <row r="484" spans="2:19" ht="12.75">
      <c r="B484" s="185"/>
      <c r="C484" s="186"/>
      <c r="D484" s="187"/>
      <c r="E484" s="187"/>
      <c r="F484" s="187"/>
      <c r="G484" s="187"/>
      <c r="H484" s="187"/>
      <c r="I484" s="187"/>
      <c r="J484" s="187"/>
      <c r="K484" s="187"/>
      <c r="L484" s="187"/>
      <c r="M484" s="187"/>
      <c r="N484" s="187"/>
      <c r="O484" s="187"/>
      <c r="P484" s="187"/>
      <c r="Q484" s="187"/>
      <c r="R484" s="187"/>
      <c r="S484" s="188"/>
    </row>
    <row r="485" spans="2:19" ht="12.75">
      <c r="B485" s="185"/>
      <c r="C485" s="186"/>
      <c r="D485" s="187"/>
      <c r="E485" s="187"/>
      <c r="F485" s="187"/>
      <c r="G485" s="187"/>
      <c r="H485" s="187"/>
      <c r="I485" s="187"/>
      <c r="J485" s="187"/>
      <c r="K485" s="187"/>
      <c r="L485" s="187"/>
      <c r="M485" s="187"/>
      <c r="N485" s="187"/>
      <c r="O485" s="187"/>
      <c r="P485" s="187"/>
      <c r="Q485" s="187"/>
      <c r="R485" s="187"/>
      <c r="S485" s="188"/>
    </row>
    <row r="486" spans="2:19" ht="12.75">
      <c r="B486" s="185"/>
      <c r="C486" s="186"/>
      <c r="D486" s="187"/>
      <c r="E486" s="187"/>
      <c r="F486" s="187"/>
      <c r="G486" s="187"/>
      <c r="H486" s="187"/>
      <c r="I486" s="187"/>
      <c r="J486" s="187"/>
      <c r="K486" s="187"/>
      <c r="L486" s="187"/>
      <c r="M486" s="187"/>
      <c r="N486" s="187"/>
      <c r="O486" s="187"/>
      <c r="P486" s="187"/>
      <c r="Q486" s="187"/>
      <c r="R486" s="187"/>
      <c r="S486" s="188"/>
    </row>
    <row r="487" spans="2:19" ht="12.75">
      <c r="B487" s="185"/>
      <c r="C487" s="186"/>
      <c r="D487" s="187"/>
      <c r="E487" s="187"/>
      <c r="F487" s="187"/>
      <c r="G487" s="187"/>
      <c r="H487" s="187"/>
      <c r="I487" s="187"/>
      <c r="J487" s="187"/>
      <c r="K487" s="187"/>
      <c r="L487" s="187"/>
      <c r="M487" s="187"/>
      <c r="N487" s="187"/>
      <c r="O487" s="187"/>
      <c r="P487" s="187"/>
      <c r="Q487" s="187"/>
      <c r="R487" s="187"/>
      <c r="S487" s="188"/>
    </row>
    <row r="488" spans="2:19" ht="12.75">
      <c r="B488" s="185"/>
      <c r="C488" s="186"/>
      <c r="D488" s="187"/>
      <c r="E488" s="187"/>
      <c r="F488" s="187"/>
      <c r="G488" s="187"/>
      <c r="H488" s="187"/>
      <c r="I488" s="187"/>
      <c r="J488" s="187"/>
      <c r="K488" s="187"/>
      <c r="L488" s="187"/>
      <c r="M488" s="187"/>
      <c r="N488" s="187"/>
      <c r="O488" s="187"/>
      <c r="P488" s="187"/>
      <c r="Q488" s="187"/>
      <c r="R488" s="187"/>
      <c r="S488" s="188"/>
    </row>
    <row r="489" spans="2:19" ht="12.75">
      <c r="B489" s="185"/>
      <c r="C489" s="186"/>
      <c r="D489" s="187"/>
      <c r="E489" s="187"/>
      <c r="F489" s="187"/>
      <c r="G489" s="187"/>
      <c r="H489" s="187"/>
      <c r="I489" s="187"/>
      <c r="J489" s="187"/>
      <c r="K489" s="187"/>
      <c r="L489" s="187"/>
      <c r="M489" s="187"/>
      <c r="N489" s="187"/>
      <c r="O489" s="187"/>
      <c r="P489" s="187"/>
      <c r="Q489" s="187"/>
      <c r="R489" s="187"/>
      <c r="S489" s="188"/>
    </row>
    <row r="490" spans="2:19" ht="12.75">
      <c r="B490" s="185"/>
      <c r="C490" s="186"/>
      <c r="D490" s="187"/>
      <c r="E490" s="187"/>
      <c r="F490" s="187"/>
      <c r="G490" s="187"/>
      <c r="H490" s="187"/>
      <c r="I490" s="187"/>
      <c r="J490" s="187"/>
      <c r="K490" s="187"/>
      <c r="L490" s="187"/>
      <c r="M490" s="187"/>
      <c r="N490" s="187"/>
      <c r="O490" s="187"/>
      <c r="P490" s="187"/>
      <c r="Q490" s="187"/>
      <c r="R490" s="187"/>
      <c r="S490" s="188"/>
    </row>
    <row r="491" spans="2:19" ht="12.75">
      <c r="B491" s="185"/>
      <c r="C491" s="186"/>
      <c r="D491" s="187"/>
      <c r="E491" s="187"/>
      <c r="F491" s="187"/>
      <c r="G491" s="187"/>
      <c r="H491" s="187"/>
      <c r="I491" s="187"/>
      <c r="J491" s="187"/>
      <c r="K491" s="187"/>
      <c r="L491" s="187"/>
      <c r="M491" s="187"/>
      <c r="N491" s="187"/>
      <c r="O491" s="187"/>
      <c r="P491" s="187"/>
      <c r="Q491" s="187"/>
      <c r="R491" s="187"/>
      <c r="S491" s="188"/>
    </row>
    <row r="492" spans="2:19" ht="12.75">
      <c r="B492" s="185"/>
      <c r="C492" s="186"/>
      <c r="D492" s="187"/>
      <c r="E492" s="187"/>
      <c r="F492" s="187"/>
      <c r="G492" s="187"/>
      <c r="H492" s="187"/>
      <c r="I492" s="187"/>
      <c r="J492" s="187"/>
      <c r="K492" s="187"/>
      <c r="L492" s="187"/>
      <c r="M492" s="187"/>
      <c r="N492" s="187"/>
      <c r="O492" s="187"/>
      <c r="P492" s="187"/>
      <c r="Q492" s="187"/>
      <c r="R492" s="187"/>
      <c r="S492" s="188"/>
    </row>
    <row r="493" spans="2:19" ht="12.75">
      <c r="B493" s="185"/>
      <c r="C493" s="186"/>
      <c r="D493" s="187"/>
      <c r="E493" s="187"/>
      <c r="F493" s="187"/>
      <c r="G493" s="187"/>
      <c r="H493" s="187"/>
      <c r="I493" s="187"/>
      <c r="J493" s="187"/>
      <c r="K493" s="187"/>
      <c r="L493" s="187"/>
      <c r="M493" s="187"/>
      <c r="N493" s="187"/>
      <c r="O493" s="187"/>
      <c r="P493" s="187"/>
      <c r="Q493" s="187"/>
      <c r="R493" s="187"/>
      <c r="S493" s="188"/>
    </row>
    <row r="494" spans="2:19" ht="12.75">
      <c r="B494" s="185"/>
      <c r="C494" s="186"/>
      <c r="D494" s="187"/>
      <c r="E494" s="187"/>
      <c r="F494" s="187"/>
      <c r="G494" s="187"/>
      <c r="H494" s="187"/>
      <c r="I494" s="187"/>
      <c r="J494" s="187"/>
      <c r="K494" s="187"/>
      <c r="L494" s="187"/>
      <c r="M494" s="187"/>
      <c r="N494" s="187"/>
      <c r="O494" s="187"/>
      <c r="P494" s="187"/>
      <c r="Q494" s="187"/>
      <c r="R494" s="187"/>
      <c r="S494" s="188"/>
    </row>
    <row r="495" spans="2:19" ht="12.75">
      <c r="B495" s="185"/>
      <c r="C495" s="186"/>
      <c r="D495" s="187"/>
      <c r="E495" s="187"/>
      <c r="F495" s="187"/>
      <c r="G495" s="187"/>
      <c r="H495" s="187"/>
      <c r="I495" s="187"/>
      <c r="J495" s="187"/>
      <c r="K495" s="187"/>
      <c r="L495" s="187"/>
      <c r="M495" s="187"/>
      <c r="N495" s="187"/>
      <c r="O495" s="187"/>
      <c r="P495" s="187"/>
      <c r="Q495" s="187"/>
      <c r="R495" s="187"/>
      <c r="S495" s="188"/>
    </row>
    <row r="496" spans="2:19" ht="12.75">
      <c r="B496" s="185"/>
      <c r="C496" s="186"/>
      <c r="D496" s="187"/>
      <c r="E496" s="187"/>
      <c r="F496" s="187"/>
      <c r="G496" s="187"/>
      <c r="H496" s="187"/>
      <c r="I496" s="187"/>
      <c r="J496" s="187"/>
      <c r="K496" s="187"/>
      <c r="L496" s="187"/>
      <c r="M496" s="187"/>
      <c r="N496" s="187"/>
      <c r="O496" s="187"/>
      <c r="P496" s="187"/>
      <c r="Q496" s="187"/>
      <c r="R496" s="187"/>
      <c r="S496" s="188"/>
    </row>
    <row r="497" spans="2:19" ht="12.75">
      <c r="B497" s="185"/>
      <c r="C497" s="186"/>
      <c r="D497" s="187"/>
      <c r="E497" s="187"/>
      <c r="F497" s="187"/>
      <c r="G497" s="187"/>
      <c r="H497" s="187"/>
      <c r="I497" s="187"/>
      <c r="J497" s="187"/>
      <c r="K497" s="187"/>
      <c r="L497" s="187"/>
      <c r="M497" s="187"/>
      <c r="N497" s="187"/>
      <c r="O497" s="187"/>
      <c r="P497" s="187"/>
      <c r="Q497" s="187"/>
      <c r="R497" s="187"/>
      <c r="S497" s="188"/>
    </row>
    <row r="498" spans="2:19" ht="12.75">
      <c r="B498" s="185"/>
      <c r="C498" s="186"/>
      <c r="D498" s="187"/>
      <c r="E498" s="187"/>
      <c r="F498" s="187"/>
      <c r="G498" s="187"/>
      <c r="H498" s="187"/>
      <c r="I498" s="187"/>
      <c r="J498" s="187"/>
      <c r="K498" s="187"/>
      <c r="L498" s="187"/>
      <c r="M498" s="187"/>
      <c r="N498" s="187"/>
      <c r="O498" s="187"/>
      <c r="P498" s="187"/>
      <c r="Q498" s="187"/>
      <c r="R498" s="187"/>
      <c r="S498" s="188"/>
    </row>
    <row r="499" spans="2:19" ht="12.75">
      <c r="B499" s="185"/>
      <c r="C499" s="186"/>
      <c r="D499" s="187"/>
      <c r="E499" s="187"/>
      <c r="F499" s="187"/>
      <c r="G499" s="187"/>
      <c r="H499" s="187"/>
      <c r="I499" s="187"/>
      <c r="J499" s="187"/>
      <c r="K499" s="187"/>
      <c r="L499" s="187"/>
      <c r="M499" s="187"/>
      <c r="N499" s="187"/>
      <c r="O499" s="187"/>
      <c r="P499" s="187"/>
      <c r="Q499" s="187"/>
      <c r="R499" s="187"/>
      <c r="S499" s="188"/>
    </row>
    <row r="500" spans="2:19" ht="12.75">
      <c r="B500" s="185"/>
      <c r="C500" s="186"/>
      <c r="D500" s="187"/>
      <c r="E500" s="187"/>
      <c r="F500" s="187"/>
      <c r="G500" s="187"/>
      <c r="H500" s="187"/>
      <c r="I500" s="187"/>
      <c r="J500" s="187"/>
      <c r="K500" s="187"/>
      <c r="L500" s="187"/>
      <c r="M500" s="187"/>
      <c r="N500" s="187"/>
      <c r="O500" s="187"/>
      <c r="P500" s="187"/>
      <c r="Q500" s="187"/>
      <c r="R500" s="187"/>
      <c r="S500" s="188"/>
    </row>
    <row r="501" spans="2:19" ht="12.75">
      <c r="B501" s="185"/>
      <c r="C501" s="186"/>
      <c r="D501" s="187"/>
      <c r="E501" s="187"/>
      <c r="F501" s="187"/>
      <c r="G501" s="187"/>
      <c r="H501" s="187"/>
      <c r="I501" s="187"/>
      <c r="J501" s="187"/>
      <c r="K501" s="187"/>
      <c r="L501" s="187"/>
      <c r="M501" s="187"/>
      <c r="N501" s="187"/>
      <c r="O501" s="187"/>
      <c r="P501" s="187"/>
      <c r="Q501" s="187"/>
      <c r="R501" s="187"/>
      <c r="S501" s="188"/>
    </row>
    <row r="502" spans="2:19" ht="12.75">
      <c r="B502" s="185"/>
      <c r="C502" s="186"/>
      <c r="D502" s="187"/>
      <c r="E502" s="187"/>
      <c r="F502" s="187"/>
      <c r="G502" s="187"/>
      <c r="H502" s="187"/>
      <c r="I502" s="187"/>
      <c r="J502" s="187"/>
      <c r="K502" s="187"/>
      <c r="L502" s="187"/>
      <c r="M502" s="187"/>
      <c r="N502" s="187"/>
      <c r="O502" s="187"/>
      <c r="P502" s="187"/>
      <c r="Q502" s="187"/>
      <c r="R502" s="187"/>
      <c r="S502" s="188"/>
    </row>
    <row r="503" spans="2:19" ht="12.75">
      <c r="B503" s="185"/>
      <c r="C503" s="186"/>
      <c r="D503" s="187"/>
      <c r="E503" s="187"/>
      <c r="F503" s="187"/>
      <c r="G503" s="187"/>
      <c r="H503" s="187"/>
      <c r="I503" s="187"/>
      <c r="J503" s="187"/>
      <c r="K503" s="187"/>
      <c r="L503" s="187"/>
      <c r="M503" s="187"/>
      <c r="N503" s="187"/>
      <c r="O503" s="187"/>
      <c r="P503" s="187"/>
      <c r="Q503" s="187"/>
      <c r="R503" s="187"/>
      <c r="S503" s="188"/>
    </row>
    <row r="504" spans="2:19" ht="12.75">
      <c r="B504" s="185"/>
      <c r="C504" s="186"/>
      <c r="D504" s="187"/>
      <c r="E504" s="187"/>
      <c r="F504" s="187"/>
      <c r="G504" s="187"/>
      <c r="H504" s="187"/>
      <c r="I504" s="187"/>
      <c r="J504" s="187"/>
      <c r="K504" s="187"/>
      <c r="L504" s="187"/>
      <c r="M504" s="187"/>
      <c r="N504" s="187"/>
      <c r="O504" s="187"/>
      <c r="P504" s="187"/>
      <c r="Q504" s="187"/>
      <c r="R504" s="187"/>
      <c r="S504" s="188"/>
    </row>
    <row r="505" spans="2:19" ht="12.75">
      <c r="B505" s="185"/>
      <c r="C505" s="186"/>
      <c r="D505" s="187"/>
      <c r="E505" s="187"/>
      <c r="F505" s="187"/>
      <c r="G505" s="187"/>
      <c r="H505" s="187"/>
      <c r="I505" s="187"/>
      <c r="J505" s="187"/>
      <c r="K505" s="187"/>
      <c r="L505" s="187"/>
      <c r="M505" s="187"/>
      <c r="N505" s="187"/>
      <c r="O505" s="187"/>
      <c r="P505" s="187"/>
      <c r="Q505" s="187"/>
      <c r="R505" s="187"/>
      <c r="S505" s="188"/>
    </row>
    <row r="506" spans="2:19" ht="12.75">
      <c r="B506" s="185"/>
      <c r="C506" s="186"/>
      <c r="D506" s="187"/>
      <c r="E506" s="187"/>
      <c r="F506" s="187"/>
      <c r="G506" s="187"/>
      <c r="H506" s="187"/>
      <c r="I506" s="187"/>
      <c r="J506" s="187"/>
      <c r="K506" s="187"/>
      <c r="L506" s="187"/>
      <c r="M506" s="187"/>
      <c r="N506" s="187"/>
      <c r="O506" s="187"/>
      <c r="P506" s="187"/>
      <c r="Q506" s="187"/>
      <c r="R506" s="187"/>
      <c r="S506" s="188"/>
    </row>
    <row r="507" spans="2:19" ht="12.75">
      <c r="B507" s="185"/>
      <c r="C507" s="186"/>
      <c r="D507" s="187"/>
      <c r="E507" s="187"/>
      <c r="F507" s="187"/>
      <c r="G507" s="187"/>
      <c r="H507" s="187"/>
      <c r="I507" s="187"/>
      <c r="J507" s="187"/>
      <c r="K507" s="187"/>
      <c r="L507" s="187"/>
      <c r="M507" s="187"/>
      <c r="N507" s="187"/>
      <c r="O507" s="187"/>
      <c r="P507" s="187"/>
      <c r="Q507" s="187"/>
      <c r="R507" s="187"/>
      <c r="S507" s="188"/>
    </row>
    <row r="508" spans="2:19" ht="12.75">
      <c r="B508" s="185"/>
      <c r="C508" s="186"/>
      <c r="D508" s="187"/>
      <c r="E508" s="187"/>
      <c r="F508" s="187"/>
      <c r="G508" s="187"/>
      <c r="H508" s="187"/>
      <c r="I508" s="187"/>
      <c r="J508" s="187"/>
      <c r="K508" s="187"/>
      <c r="L508" s="187"/>
      <c r="M508" s="187"/>
      <c r="N508" s="187"/>
      <c r="O508" s="187"/>
      <c r="P508" s="187"/>
      <c r="Q508" s="187"/>
      <c r="R508" s="187"/>
      <c r="S508" s="188"/>
    </row>
    <row r="509" spans="2:19" ht="12.75">
      <c r="B509" s="185"/>
      <c r="C509" s="186"/>
      <c r="D509" s="187"/>
      <c r="E509" s="187"/>
      <c r="F509" s="187"/>
      <c r="G509" s="187"/>
      <c r="H509" s="187"/>
      <c r="I509" s="187"/>
      <c r="J509" s="187"/>
      <c r="K509" s="187"/>
      <c r="L509" s="187"/>
      <c r="M509" s="187"/>
      <c r="N509" s="187"/>
      <c r="O509" s="187"/>
      <c r="P509" s="187"/>
      <c r="Q509" s="187"/>
      <c r="R509" s="187"/>
      <c r="S509" s="188"/>
    </row>
    <row r="510" spans="2:19" ht="12.75">
      <c r="B510" s="185"/>
      <c r="C510" s="186"/>
      <c r="D510" s="187"/>
      <c r="E510" s="187"/>
      <c r="F510" s="187"/>
      <c r="G510" s="187"/>
      <c r="H510" s="187"/>
      <c r="I510" s="187"/>
      <c r="J510" s="187"/>
      <c r="K510" s="187"/>
      <c r="L510" s="187"/>
      <c r="M510" s="187"/>
      <c r="N510" s="187"/>
      <c r="O510" s="187"/>
      <c r="P510" s="187"/>
      <c r="Q510" s="187"/>
      <c r="R510" s="187"/>
      <c r="S510" s="188"/>
    </row>
    <row r="511" spans="2:19" ht="12.75">
      <c r="B511" s="185"/>
      <c r="C511" s="186"/>
      <c r="D511" s="187"/>
      <c r="E511" s="187"/>
      <c r="F511" s="187"/>
      <c r="G511" s="187"/>
      <c r="H511" s="187"/>
      <c r="I511" s="187"/>
      <c r="J511" s="187"/>
      <c r="K511" s="187"/>
      <c r="L511" s="187"/>
      <c r="M511" s="187"/>
      <c r="N511" s="187"/>
      <c r="O511" s="187"/>
      <c r="P511" s="187"/>
      <c r="Q511" s="187"/>
      <c r="R511" s="187"/>
      <c r="S511" s="188"/>
    </row>
    <row r="512" spans="2:19" ht="12.75">
      <c r="B512" s="185"/>
      <c r="C512" s="186"/>
      <c r="D512" s="187"/>
      <c r="E512" s="187"/>
      <c r="F512" s="187"/>
      <c r="G512" s="187"/>
      <c r="H512" s="187"/>
      <c r="I512" s="187"/>
      <c r="J512" s="187"/>
      <c r="K512" s="187"/>
      <c r="L512" s="187"/>
      <c r="M512" s="187"/>
      <c r="N512" s="187"/>
      <c r="O512" s="187"/>
      <c r="P512" s="187"/>
      <c r="Q512" s="187"/>
      <c r="R512" s="187"/>
      <c r="S512" s="188"/>
    </row>
    <row r="513" spans="2:19" ht="12.75">
      <c r="B513" s="185"/>
      <c r="C513" s="186"/>
      <c r="D513" s="187"/>
      <c r="E513" s="187"/>
      <c r="F513" s="187"/>
      <c r="G513" s="187"/>
      <c r="H513" s="187"/>
      <c r="I513" s="187"/>
      <c r="J513" s="187"/>
      <c r="K513" s="187"/>
      <c r="L513" s="187"/>
      <c r="M513" s="187"/>
      <c r="N513" s="187"/>
      <c r="O513" s="187"/>
      <c r="P513" s="187"/>
      <c r="Q513" s="187"/>
      <c r="R513" s="187"/>
      <c r="S513" s="188"/>
    </row>
    <row r="514" spans="2:19" ht="12.75">
      <c r="B514" s="185"/>
      <c r="C514" s="186"/>
      <c r="D514" s="187"/>
      <c r="E514" s="187"/>
      <c r="F514" s="187"/>
      <c r="G514" s="187"/>
      <c r="H514" s="187"/>
      <c r="I514" s="187"/>
      <c r="J514" s="187"/>
      <c r="K514" s="187"/>
      <c r="L514" s="187"/>
      <c r="M514" s="187"/>
      <c r="N514" s="187"/>
      <c r="O514" s="187"/>
      <c r="P514" s="187"/>
      <c r="Q514" s="187"/>
      <c r="R514" s="187"/>
      <c r="S514" s="188"/>
    </row>
    <row r="515" spans="2:19" ht="12.75">
      <c r="B515" s="185"/>
      <c r="C515" s="186"/>
      <c r="D515" s="187"/>
      <c r="E515" s="187"/>
      <c r="F515" s="187"/>
      <c r="G515" s="187"/>
      <c r="H515" s="187"/>
      <c r="I515" s="187"/>
      <c r="J515" s="187"/>
      <c r="K515" s="187"/>
      <c r="L515" s="187"/>
      <c r="M515" s="187"/>
      <c r="N515" s="187"/>
      <c r="O515" s="187"/>
      <c r="P515" s="187"/>
      <c r="Q515" s="187"/>
      <c r="R515" s="187"/>
      <c r="S515" s="188"/>
    </row>
    <row r="516" spans="2:19" ht="12.75">
      <c r="B516" s="185"/>
      <c r="C516" s="186"/>
      <c r="D516" s="187"/>
      <c r="E516" s="187"/>
      <c r="F516" s="187"/>
      <c r="G516" s="187"/>
      <c r="H516" s="187"/>
      <c r="I516" s="187"/>
      <c r="J516" s="187"/>
      <c r="K516" s="187"/>
      <c r="L516" s="187"/>
      <c r="M516" s="187"/>
      <c r="N516" s="187"/>
      <c r="O516" s="187"/>
      <c r="P516" s="187"/>
      <c r="Q516" s="187"/>
      <c r="R516" s="187"/>
      <c r="S516" s="188"/>
    </row>
    <row r="517" spans="2:19" ht="12.75">
      <c r="B517" s="185"/>
      <c r="C517" s="186"/>
      <c r="D517" s="187"/>
      <c r="E517" s="187"/>
      <c r="F517" s="187"/>
      <c r="G517" s="187"/>
      <c r="H517" s="187"/>
      <c r="I517" s="187"/>
      <c r="J517" s="187"/>
      <c r="K517" s="187"/>
      <c r="L517" s="187"/>
      <c r="M517" s="187"/>
      <c r="N517" s="187"/>
      <c r="O517" s="187"/>
      <c r="P517" s="187"/>
      <c r="Q517" s="187"/>
      <c r="R517" s="187"/>
      <c r="S517" s="188"/>
    </row>
    <row r="518" spans="2:19" ht="12.75">
      <c r="B518" s="185"/>
      <c r="C518" s="186"/>
      <c r="D518" s="187"/>
      <c r="E518" s="187"/>
      <c r="F518" s="187"/>
      <c r="G518" s="187"/>
      <c r="H518" s="187"/>
      <c r="I518" s="187"/>
      <c r="J518" s="187"/>
      <c r="K518" s="187"/>
      <c r="L518" s="187"/>
      <c r="M518" s="187"/>
      <c r="N518" s="187"/>
      <c r="O518" s="187"/>
      <c r="P518" s="187"/>
      <c r="Q518" s="187"/>
      <c r="R518" s="187"/>
      <c r="S518" s="188"/>
    </row>
    <row r="519" spans="2:19" ht="12.75">
      <c r="B519" s="185"/>
      <c r="C519" s="186"/>
      <c r="D519" s="187"/>
      <c r="E519" s="187"/>
      <c r="F519" s="187"/>
      <c r="G519" s="187"/>
      <c r="H519" s="187"/>
      <c r="I519" s="187"/>
      <c r="J519" s="187"/>
      <c r="K519" s="187"/>
      <c r="L519" s="187"/>
      <c r="M519" s="187"/>
      <c r="N519" s="187"/>
      <c r="O519" s="187"/>
      <c r="P519" s="187"/>
      <c r="Q519" s="187"/>
      <c r="R519" s="187"/>
      <c r="S519" s="188"/>
    </row>
    <row r="520" spans="2:19" ht="12.75">
      <c r="B520" s="185"/>
      <c r="C520" s="186"/>
      <c r="D520" s="187"/>
      <c r="E520" s="187"/>
      <c r="F520" s="187"/>
      <c r="G520" s="187"/>
      <c r="H520" s="187"/>
      <c r="I520" s="187"/>
      <c r="J520" s="187"/>
      <c r="K520" s="187"/>
      <c r="L520" s="187"/>
      <c r="M520" s="187"/>
      <c r="N520" s="187"/>
      <c r="O520" s="187"/>
      <c r="P520" s="187"/>
      <c r="Q520" s="187"/>
      <c r="R520" s="187"/>
      <c r="S520" s="188"/>
    </row>
    <row r="521" spans="2:19" ht="12.75">
      <c r="B521" s="185"/>
      <c r="C521" s="186"/>
      <c r="D521" s="187"/>
      <c r="E521" s="187"/>
      <c r="F521" s="187"/>
      <c r="G521" s="187"/>
      <c r="H521" s="187"/>
      <c r="I521" s="187"/>
      <c r="J521" s="187"/>
      <c r="K521" s="187"/>
      <c r="L521" s="187"/>
      <c r="M521" s="187"/>
      <c r="N521" s="187"/>
      <c r="O521" s="187"/>
      <c r="P521" s="187"/>
      <c r="Q521" s="187"/>
      <c r="R521" s="187"/>
      <c r="S521" s="188"/>
    </row>
    <row r="522" spans="2:19" ht="12.75">
      <c r="B522" s="185"/>
      <c r="C522" s="186"/>
      <c r="D522" s="187"/>
      <c r="E522" s="187"/>
      <c r="F522" s="187"/>
      <c r="G522" s="187"/>
      <c r="H522" s="187"/>
      <c r="I522" s="187"/>
      <c r="J522" s="187"/>
      <c r="K522" s="187"/>
      <c r="L522" s="187"/>
      <c r="M522" s="187"/>
      <c r="N522" s="187"/>
      <c r="O522" s="187"/>
      <c r="P522" s="187"/>
      <c r="Q522" s="187"/>
      <c r="R522" s="187"/>
      <c r="S522" s="188"/>
    </row>
    <row r="523" spans="2:19" ht="12.75">
      <c r="B523" s="185"/>
      <c r="C523" s="186"/>
      <c r="D523" s="187"/>
      <c r="E523" s="187"/>
      <c r="F523" s="187"/>
      <c r="G523" s="187"/>
      <c r="H523" s="187"/>
      <c r="I523" s="187"/>
      <c r="J523" s="187"/>
      <c r="K523" s="187"/>
      <c r="L523" s="187"/>
      <c r="M523" s="187"/>
      <c r="N523" s="187"/>
      <c r="O523" s="187"/>
      <c r="P523" s="187"/>
      <c r="Q523" s="187"/>
      <c r="R523" s="187"/>
      <c r="S523" s="188"/>
    </row>
    <row r="524" spans="2:19" ht="12.75">
      <c r="B524" s="185"/>
      <c r="C524" s="186"/>
      <c r="D524" s="187"/>
      <c r="E524" s="187"/>
      <c r="F524" s="187"/>
      <c r="G524" s="187"/>
      <c r="H524" s="187"/>
      <c r="I524" s="187"/>
      <c r="J524" s="187"/>
      <c r="K524" s="187"/>
      <c r="L524" s="187"/>
      <c r="M524" s="187"/>
      <c r="N524" s="187"/>
      <c r="O524" s="187"/>
      <c r="P524" s="187"/>
      <c r="Q524" s="187"/>
      <c r="R524" s="187"/>
      <c r="S524" s="188"/>
    </row>
    <row r="525" spans="2:19" ht="12.75">
      <c r="B525" s="185"/>
      <c r="C525" s="186"/>
      <c r="D525" s="187"/>
      <c r="E525" s="187"/>
      <c r="F525" s="187"/>
      <c r="G525" s="187"/>
      <c r="H525" s="187"/>
      <c r="I525" s="187"/>
      <c r="J525" s="187"/>
      <c r="K525" s="187"/>
      <c r="L525" s="187"/>
      <c r="M525" s="187"/>
      <c r="N525" s="187"/>
      <c r="O525" s="187"/>
      <c r="P525" s="187"/>
      <c r="Q525" s="187"/>
      <c r="R525" s="187"/>
      <c r="S525" s="188"/>
    </row>
    <row r="526" spans="2:19" ht="12.75">
      <c r="B526" s="185"/>
      <c r="C526" s="186"/>
      <c r="D526" s="187"/>
      <c r="E526" s="187"/>
      <c r="F526" s="187"/>
      <c r="G526" s="187"/>
      <c r="H526" s="187"/>
      <c r="I526" s="187"/>
      <c r="J526" s="187"/>
      <c r="K526" s="187"/>
      <c r="L526" s="187"/>
      <c r="M526" s="187"/>
      <c r="N526" s="187"/>
      <c r="O526" s="187"/>
      <c r="P526" s="187"/>
      <c r="Q526" s="187"/>
      <c r="R526" s="187"/>
      <c r="S526" s="188"/>
    </row>
    <row r="527" spans="2:19" ht="12.75">
      <c r="B527" s="185"/>
      <c r="C527" s="186"/>
      <c r="D527" s="187"/>
      <c r="E527" s="187"/>
      <c r="F527" s="187"/>
      <c r="G527" s="187"/>
      <c r="H527" s="187"/>
      <c r="I527" s="187"/>
      <c r="J527" s="187"/>
      <c r="K527" s="187"/>
      <c r="L527" s="187"/>
      <c r="M527" s="187"/>
      <c r="N527" s="187"/>
      <c r="O527" s="187"/>
      <c r="P527" s="187"/>
      <c r="Q527" s="187"/>
      <c r="R527" s="187"/>
      <c r="S527" s="188"/>
    </row>
    <row r="528" spans="2:19" ht="12.75">
      <c r="B528" s="185"/>
      <c r="C528" s="186"/>
      <c r="D528" s="187"/>
      <c r="E528" s="187"/>
      <c r="F528" s="187"/>
      <c r="G528" s="187"/>
      <c r="H528" s="187"/>
      <c r="I528" s="187"/>
      <c r="J528" s="187"/>
      <c r="K528" s="187"/>
      <c r="L528" s="187"/>
      <c r="M528" s="187"/>
      <c r="N528" s="187"/>
      <c r="O528" s="187"/>
      <c r="P528" s="187"/>
      <c r="Q528" s="187"/>
      <c r="R528" s="187"/>
      <c r="S528" s="188"/>
    </row>
    <row r="529" spans="2:19" ht="12.75">
      <c r="B529" s="185"/>
      <c r="C529" s="186"/>
      <c r="D529" s="187"/>
      <c r="E529" s="187"/>
      <c r="F529" s="187"/>
      <c r="G529" s="187"/>
      <c r="H529" s="187"/>
      <c r="I529" s="187"/>
      <c r="J529" s="187"/>
      <c r="K529" s="187"/>
      <c r="L529" s="187"/>
      <c r="M529" s="187"/>
      <c r="N529" s="187"/>
      <c r="O529" s="187"/>
      <c r="P529" s="187"/>
      <c r="Q529" s="187"/>
      <c r="R529" s="187"/>
      <c r="S529" s="188"/>
    </row>
    <row r="530" spans="2:19" ht="12.75">
      <c r="B530" s="185"/>
      <c r="C530" s="186"/>
      <c r="D530" s="187"/>
      <c r="E530" s="187"/>
      <c r="F530" s="187"/>
      <c r="G530" s="187"/>
      <c r="H530" s="187"/>
      <c r="I530" s="187"/>
      <c r="J530" s="187"/>
      <c r="K530" s="187"/>
      <c r="L530" s="187"/>
      <c r="M530" s="187"/>
      <c r="N530" s="187"/>
      <c r="O530" s="187"/>
      <c r="P530" s="187"/>
      <c r="Q530" s="187"/>
      <c r="R530" s="187"/>
      <c r="S530" s="188"/>
    </row>
    <row r="531" spans="2:19" ht="12.75">
      <c r="B531" s="185"/>
      <c r="C531" s="186"/>
      <c r="D531" s="187"/>
      <c r="E531" s="187"/>
      <c r="F531" s="187"/>
      <c r="G531" s="187"/>
      <c r="H531" s="187"/>
      <c r="I531" s="187"/>
      <c r="J531" s="187"/>
      <c r="K531" s="187"/>
      <c r="L531" s="187"/>
      <c r="M531" s="187"/>
      <c r="N531" s="187"/>
      <c r="O531" s="187"/>
      <c r="P531" s="187"/>
      <c r="Q531" s="187"/>
      <c r="R531" s="187"/>
      <c r="S531" s="188"/>
    </row>
    <row r="532" spans="2:19" ht="12.75">
      <c r="B532" s="185"/>
      <c r="C532" s="186"/>
      <c r="D532" s="187"/>
      <c r="E532" s="187"/>
      <c r="F532" s="187"/>
      <c r="G532" s="187"/>
      <c r="H532" s="187"/>
      <c r="I532" s="187"/>
      <c r="J532" s="187"/>
      <c r="K532" s="187"/>
      <c r="L532" s="187"/>
      <c r="M532" s="187"/>
      <c r="N532" s="187"/>
      <c r="O532" s="187"/>
      <c r="P532" s="187"/>
      <c r="Q532" s="187"/>
      <c r="R532" s="187"/>
      <c r="S532" s="188"/>
    </row>
    <row r="533" spans="2:19" ht="12.75">
      <c r="B533" s="185"/>
      <c r="C533" s="186"/>
      <c r="D533" s="187"/>
      <c r="E533" s="187"/>
      <c r="F533" s="187"/>
      <c r="G533" s="187"/>
      <c r="H533" s="187"/>
      <c r="I533" s="187"/>
      <c r="J533" s="187"/>
      <c r="K533" s="187"/>
      <c r="L533" s="187"/>
      <c r="M533" s="187"/>
      <c r="N533" s="187"/>
      <c r="O533" s="187"/>
      <c r="P533" s="187"/>
      <c r="Q533" s="187"/>
      <c r="R533" s="187"/>
      <c r="S533" s="188"/>
    </row>
    <row r="534" spans="2:19" ht="12.75">
      <c r="B534" s="185"/>
      <c r="C534" s="186"/>
      <c r="D534" s="187"/>
      <c r="E534" s="187"/>
      <c r="F534" s="187"/>
      <c r="G534" s="187"/>
      <c r="H534" s="187"/>
      <c r="I534" s="187"/>
      <c r="J534" s="187"/>
      <c r="K534" s="187"/>
      <c r="L534" s="187"/>
      <c r="M534" s="187"/>
      <c r="N534" s="187"/>
      <c r="O534" s="187"/>
      <c r="P534" s="187"/>
      <c r="Q534" s="187"/>
      <c r="R534" s="187"/>
      <c r="S534" s="188"/>
    </row>
    <row r="535" spans="2:19" ht="12.75">
      <c r="B535" s="185"/>
      <c r="C535" s="186"/>
      <c r="D535" s="187"/>
      <c r="E535" s="187"/>
      <c r="F535" s="187"/>
      <c r="G535" s="187"/>
      <c r="H535" s="187"/>
      <c r="I535" s="187"/>
      <c r="J535" s="187"/>
      <c r="K535" s="187"/>
      <c r="L535" s="187"/>
      <c r="M535" s="187"/>
      <c r="N535" s="187"/>
      <c r="O535" s="187"/>
      <c r="P535" s="187"/>
      <c r="Q535" s="187"/>
      <c r="R535" s="187"/>
      <c r="S535" s="188"/>
    </row>
    <row r="536" spans="2:19" ht="12.75">
      <c r="B536" s="185"/>
      <c r="C536" s="186"/>
      <c r="D536" s="187"/>
      <c r="E536" s="187"/>
      <c r="F536" s="187"/>
      <c r="G536" s="187"/>
      <c r="H536" s="187"/>
      <c r="I536" s="187"/>
      <c r="J536" s="187"/>
      <c r="K536" s="187"/>
      <c r="L536" s="187"/>
      <c r="M536" s="187"/>
      <c r="N536" s="187"/>
      <c r="O536" s="187"/>
      <c r="P536" s="187"/>
      <c r="Q536" s="187"/>
      <c r="R536" s="187"/>
      <c r="S536" s="188"/>
    </row>
    <row r="537" spans="2:19" ht="12.75">
      <c r="B537" s="185"/>
      <c r="C537" s="186"/>
      <c r="D537" s="187"/>
      <c r="E537" s="187"/>
      <c r="F537" s="187"/>
      <c r="G537" s="187"/>
      <c r="H537" s="187"/>
      <c r="I537" s="187"/>
      <c r="J537" s="187"/>
      <c r="K537" s="187"/>
      <c r="L537" s="187"/>
      <c r="M537" s="187"/>
      <c r="N537" s="187"/>
      <c r="O537" s="187"/>
      <c r="P537" s="187"/>
      <c r="Q537" s="187"/>
      <c r="R537" s="187"/>
      <c r="S537" s="188"/>
    </row>
    <row r="538" spans="2:19" ht="12.75">
      <c r="B538" s="185"/>
      <c r="C538" s="186"/>
      <c r="D538" s="187"/>
      <c r="E538" s="187"/>
      <c r="F538" s="187"/>
      <c r="G538" s="187"/>
      <c r="H538" s="187"/>
      <c r="I538" s="187"/>
      <c r="J538" s="187"/>
      <c r="K538" s="187"/>
      <c r="L538" s="187"/>
      <c r="M538" s="187"/>
      <c r="N538" s="187"/>
      <c r="O538" s="187"/>
      <c r="P538" s="187"/>
      <c r="Q538" s="187"/>
      <c r="R538" s="187"/>
      <c r="S538" s="188"/>
    </row>
    <row r="539" spans="2:19" ht="12.75">
      <c r="B539" s="185"/>
      <c r="C539" s="186"/>
      <c r="D539" s="187"/>
      <c r="E539" s="187"/>
      <c r="F539" s="187"/>
      <c r="G539" s="187"/>
      <c r="H539" s="187"/>
      <c r="I539" s="187"/>
      <c r="J539" s="187"/>
      <c r="K539" s="187"/>
      <c r="L539" s="187"/>
      <c r="M539" s="187"/>
      <c r="N539" s="187"/>
      <c r="O539" s="187"/>
      <c r="P539" s="187"/>
      <c r="Q539" s="187"/>
      <c r="R539" s="187"/>
      <c r="S539" s="188"/>
    </row>
    <row r="540" spans="2:19" ht="12.75">
      <c r="B540" s="185"/>
      <c r="C540" s="186"/>
      <c r="D540" s="187"/>
      <c r="E540" s="187"/>
      <c r="F540" s="187"/>
      <c r="G540" s="187"/>
      <c r="H540" s="187"/>
      <c r="I540" s="187"/>
      <c r="J540" s="187"/>
      <c r="K540" s="187"/>
      <c r="L540" s="187"/>
      <c r="M540" s="187"/>
      <c r="N540" s="187"/>
      <c r="O540" s="187"/>
      <c r="P540" s="187"/>
      <c r="Q540" s="187"/>
      <c r="R540" s="187"/>
      <c r="S540" s="188"/>
    </row>
    <row r="541" spans="2:19" ht="12.75">
      <c r="B541" s="185"/>
      <c r="C541" s="186"/>
      <c r="D541" s="187"/>
      <c r="E541" s="187"/>
      <c r="F541" s="187"/>
      <c r="G541" s="187"/>
      <c r="H541" s="187"/>
      <c r="I541" s="187"/>
      <c r="J541" s="187"/>
      <c r="K541" s="187"/>
      <c r="L541" s="187"/>
      <c r="M541" s="187"/>
      <c r="N541" s="187"/>
      <c r="O541" s="187"/>
      <c r="P541" s="187"/>
      <c r="Q541" s="187"/>
      <c r="R541" s="187"/>
      <c r="S541" s="188"/>
    </row>
    <row r="542" spans="2:19" ht="12.75">
      <c r="B542" s="185"/>
      <c r="C542" s="186"/>
      <c r="D542" s="187"/>
      <c r="E542" s="187"/>
      <c r="F542" s="187"/>
      <c r="G542" s="187"/>
      <c r="H542" s="187"/>
      <c r="I542" s="187"/>
      <c r="J542" s="187"/>
      <c r="K542" s="187"/>
      <c r="L542" s="187"/>
      <c r="M542" s="187"/>
      <c r="N542" s="187"/>
      <c r="O542" s="187"/>
      <c r="P542" s="187"/>
      <c r="Q542" s="187"/>
      <c r="R542" s="187"/>
      <c r="S542" s="188"/>
    </row>
    <row r="543" spans="2:19" ht="12.75">
      <c r="B543" s="185"/>
      <c r="C543" s="186"/>
      <c r="D543" s="187"/>
      <c r="E543" s="187"/>
      <c r="F543" s="187"/>
      <c r="G543" s="187"/>
      <c r="H543" s="187"/>
      <c r="I543" s="187"/>
      <c r="J543" s="187"/>
      <c r="K543" s="187"/>
      <c r="L543" s="187"/>
      <c r="M543" s="187"/>
      <c r="N543" s="187"/>
      <c r="O543" s="187"/>
      <c r="P543" s="187"/>
      <c r="Q543" s="187"/>
      <c r="R543" s="187"/>
      <c r="S543" s="188"/>
    </row>
    <row r="544" spans="2:19" ht="12.75">
      <c r="B544" s="185"/>
      <c r="C544" s="186"/>
      <c r="D544" s="187"/>
      <c r="E544" s="187"/>
      <c r="F544" s="187"/>
      <c r="G544" s="187"/>
      <c r="H544" s="187"/>
      <c r="I544" s="187"/>
      <c r="J544" s="187"/>
      <c r="K544" s="187"/>
      <c r="L544" s="187"/>
      <c r="M544" s="187"/>
      <c r="N544" s="187"/>
      <c r="O544" s="187"/>
      <c r="P544" s="187"/>
      <c r="Q544" s="187"/>
      <c r="R544" s="187"/>
      <c r="S544" s="188"/>
    </row>
    <row r="545" spans="2:19" ht="12.75">
      <c r="B545" s="185"/>
      <c r="C545" s="186"/>
      <c r="D545" s="187"/>
      <c r="E545" s="187"/>
      <c r="F545" s="187"/>
      <c r="G545" s="187"/>
      <c r="H545" s="187"/>
      <c r="I545" s="187"/>
      <c r="J545" s="187"/>
      <c r="K545" s="187"/>
      <c r="L545" s="187"/>
      <c r="M545" s="187"/>
      <c r="N545" s="187"/>
      <c r="O545" s="187"/>
      <c r="P545" s="187"/>
      <c r="Q545" s="187"/>
      <c r="R545" s="187"/>
      <c r="S545" s="188"/>
    </row>
    <row r="546" spans="2:19" ht="12.75">
      <c r="B546" s="185"/>
      <c r="C546" s="186"/>
      <c r="D546" s="187"/>
      <c r="E546" s="187"/>
      <c r="F546" s="187"/>
      <c r="G546" s="187"/>
      <c r="H546" s="187"/>
      <c r="I546" s="187"/>
      <c r="J546" s="187"/>
      <c r="K546" s="187"/>
      <c r="L546" s="187"/>
      <c r="M546" s="187"/>
      <c r="N546" s="187"/>
      <c r="O546" s="187"/>
      <c r="P546" s="187"/>
      <c r="Q546" s="187"/>
      <c r="R546" s="187"/>
      <c r="S546" s="188"/>
    </row>
    <row r="547" spans="2:19" ht="12.75">
      <c r="B547" s="185"/>
      <c r="C547" s="186"/>
      <c r="D547" s="187"/>
      <c r="E547" s="187"/>
      <c r="F547" s="187"/>
      <c r="G547" s="187"/>
      <c r="H547" s="187"/>
      <c r="I547" s="187"/>
      <c r="J547" s="187"/>
      <c r="K547" s="187"/>
      <c r="L547" s="187"/>
      <c r="M547" s="187"/>
      <c r="N547" s="187"/>
      <c r="O547" s="187"/>
      <c r="P547" s="187"/>
      <c r="Q547" s="187"/>
      <c r="R547" s="187"/>
      <c r="S547" s="188"/>
    </row>
    <row r="548" spans="2:19" ht="12.75">
      <c r="B548" s="185"/>
      <c r="C548" s="186"/>
      <c r="D548" s="187"/>
      <c r="E548" s="187"/>
      <c r="F548" s="187"/>
      <c r="G548" s="187"/>
      <c r="H548" s="187"/>
      <c r="I548" s="187"/>
      <c r="J548" s="187"/>
      <c r="K548" s="187"/>
      <c r="L548" s="187"/>
      <c r="M548" s="187"/>
      <c r="N548" s="187"/>
      <c r="O548" s="187"/>
      <c r="P548" s="187"/>
      <c r="Q548" s="187"/>
      <c r="R548" s="187"/>
      <c r="S548" s="188"/>
    </row>
    <row r="549" spans="2:19" ht="12.75">
      <c r="B549" s="185"/>
      <c r="C549" s="186"/>
      <c r="D549" s="187"/>
      <c r="E549" s="187"/>
      <c r="F549" s="187"/>
      <c r="G549" s="187"/>
      <c r="H549" s="187"/>
      <c r="I549" s="187"/>
      <c r="J549" s="187"/>
      <c r="K549" s="187"/>
      <c r="L549" s="187"/>
      <c r="M549" s="187"/>
      <c r="N549" s="187"/>
      <c r="O549" s="187"/>
      <c r="P549" s="187"/>
      <c r="Q549" s="187"/>
      <c r="R549" s="187"/>
      <c r="S549" s="188"/>
    </row>
    <row r="550" spans="2:19" ht="12.75">
      <c r="B550" s="185"/>
      <c r="C550" s="186"/>
      <c r="D550" s="187"/>
      <c r="E550" s="187"/>
      <c r="F550" s="187"/>
      <c r="G550" s="187"/>
      <c r="H550" s="187"/>
      <c r="I550" s="187"/>
      <c r="J550" s="187"/>
      <c r="K550" s="187"/>
      <c r="L550" s="187"/>
      <c r="M550" s="187"/>
      <c r="N550" s="187"/>
      <c r="O550" s="187"/>
      <c r="P550" s="187"/>
      <c r="Q550" s="187"/>
      <c r="R550" s="187"/>
      <c r="S550" s="188"/>
    </row>
    <row r="551" spans="2:19" ht="12.75">
      <c r="B551" s="185"/>
      <c r="C551" s="186"/>
      <c r="D551" s="187"/>
      <c r="E551" s="187"/>
      <c r="F551" s="187"/>
      <c r="G551" s="187"/>
      <c r="H551" s="187"/>
      <c r="I551" s="187"/>
      <c r="J551" s="187"/>
      <c r="K551" s="187"/>
      <c r="L551" s="187"/>
      <c r="M551" s="187"/>
      <c r="N551" s="187"/>
      <c r="O551" s="187"/>
      <c r="P551" s="187"/>
      <c r="Q551" s="187"/>
      <c r="R551" s="187"/>
      <c r="S551" s="188"/>
    </row>
    <row r="552" spans="2:19" ht="12.75">
      <c r="B552" s="185"/>
      <c r="C552" s="186"/>
      <c r="D552" s="187"/>
      <c r="E552" s="187"/>
      <c r="F552" s="187"/>
      <c r="G552" s="187"/>
      <c r="H552" s="187"/>
      <c r="I552" s="187"/>
      <c r="J552" s="187"/>
      <c r="K552" s="187"/>
      <c r="L552" s="187"/>
      <c r="M552" s="187"/>
      <c r="N552" s="187"/>
      <c r="O552" s="187"/>
      <c r="P552" s="187"/>
      <c r="Q552" s="187"/>
      <c r="R552" s="187"/>
      <c r="S552" s="188"/>
    </row>
    <row r="553" spans="2:19" ht="12.75">
      <c r="B553" s="185"/>
      <c r="C553" s="186"/>
      <c r="D553" s="187"/>
      <c r="E553" s="187"/>
      <c r="F553" s="187"/>
      <c r="G553" s="187"/>
      <c r="H553" s="187"/>
      <c r="I553" s="187"/>
      <c r="J553" s="187"/>
      <c r="K553" s="187"/>
      <c r="L553" s="187"/>
      <c r="M553" s="187"/>
      <c r="N553" s="187"/>
      <c r="O553" s="187"/>
      <c r="P553" s="187"/>
      <c r="Q553" s="187"/>
      <c r="R553" s="187"/>
      <c r="S553" s="188"/>
    </row>
    <row r="554" spans="2:19" ht="12.75">
      <c r="B554" s="185"/>
      <c r="C554" s="186"/>
      <c r="D554" s="187"/>
      <c r="E554" s="187"/>
      <c r="F554" s="187"/>
      <c r="G554" s="187"/>
      <c r="H554" s="187"/>
      <c r="I554" s="187"/>
      <c r="J554" s="187"/>
      <c r="K554" s="187"/>
      <c r="L554" s="187"/>
      <c r="M554" s="187"/>
      <c r="N554" s="187"/>
      <c r="O554" s="187"/>
      <c r="P554" s="187"/>
      <c r="Q554" s="187"/>
      <c r="R554" s="187"/>
      <c r="S554" s="188"/>
    </row>
    <row r="555" spans="2:19" ht="12.75">
      <c r="B555" s="185"/>
      <c r="C555" s="186"/>
      <c r="D555" s="187"/>
      <c r="E555" s="187"/>
      <c r="F555" s="187"/>
      <c r="G555" s="187"/>
      <c r="H555" s="187"/>
      <c r="I555" s="187"/>
      <c r="J555" s="187"/>
      <c r="K555" s="187"/>
      <c r="L555" s="187"/>
      <c r="M555" s="187"/>
      <c r="N555" s="187"/>
      <c r="O555" s="187"/>
      <c r="P555" s="187"/>
      <c r="Q555" s="187"/>
      <c r="R555" s="187"/>
      <c r="S555" s="188"/>
    </row>
    <row r="556" spans="2:19" ht="12.75">
      <c r="B556" s="185"/>
      <c r="C556" s="186"/>
      <c r="D556" s="187"/>
      <c r="E556" s="187"/>
      <c r="F556" s="187"/>
      <c r="G556" s="187"/>
      <c r="H556" s="187"/>
      <c r="I556" s="187"/>
      <c r="J556" s="187"/>
      <c r="K556" s="187"/>
      <c r="L556" s="187"/>
      <c r="M556" s="187"/>
      <c r="N556" s="187"/>
      <c r="O556" s="187"/>
      <c r="P556" s="187"/>
      <c r="Q556" s="187"/>
      <c r="R556" s="187"/>
      <c r="S556" s="188"/>
    </row>
    <row r="557" spans="2:19" ht="12.75">
      <c r="B557" s="185"/>
      <c r="C557" s="186"/>
      <c r="D557" s="187"/>
      <c r="E557" s="187"/>
      <c r="F557" s="187"/>
      <c r="G557" s="187"/>
      <c r="H557" s="187"/>
      <c r="I557" s="187"/>
      <c r="J557" s="187"/>
      <c r="K557" s="187"/>
      <c r="L557" s="187"/>
      <c r="M557" s="187"/>
      <c r="N557" s="187"/>
      <c r="O557" s="187"/>
      <c r="P557" s="187"/>
      <c r="Q557" s="187"/>
      <c r="R557" s="187"/>
      <c r="S557" s="188"/>
    </row>
    <row r="558" spans="2:19" ht="12.75">
      <c r="B558" s="185"/>
      <c r="C558" s="186"/>
      <c r="D558" s="187"/>
      <c r="E558" s="187"/>
      <c r="F558" s="187"/>
      <c r="G558" s="187"/>
      <c r="H558" s="187"/>
      <c r="I558" s="187"/>
      <c r="J558" s="187"/>
      <c r="K558" s="187"/>
      <c r="L558" s="187"/>
      <c r="M558" s="187"/>
      <c r="N558" s="187"/>
      <c r="O558" s="187"/>
      <c r="P558" s="187"/>
      <c r="Q558" s="187"/>
      <c r="R558" s="187"/>
      <c r="S558" s="188"/>
    </row>
    <row r="559" spans="2:19" ht="12.75">
      <c r="B559" s="185"/>
      <c r="C559" s="186"/>
      <c r="D559" s="187"/>
      <c r="E559" s="187"/>
      <c r="F559" s="187"/>
      <c r="G559" s="187"/>
      <c r="H559" s="187"/>
      <c r="I559" s="187"/>
      <c r="J559" s="187"/>
      <c r="K559" s="187"/>
      <c r="L559" s="187"/>
      <c r="M559" s="187"/>
      <c r="N559" s="187"/>
      <c r="O559" s="187"/>
      <c r="P559" s="187"/>
      <c r="Q559" s="187"/>
      <c r="R559" s="187"/>
      <c r="S559" s="188"/>
    </row>
    <row r="560" spans="2:19" ht="12.75">
      <c r="B560" s="185"/>
      <c r="C560" s="186"/>
      <c r="D560" s="187"/>
      <c r="E560" s="187"/>
      <c r="F560" s="187"/>
      <c r="G560" s="187"/>
      <c r="H560" s="187"/>
      <c r="I560" s="187"/>
      <c r="J560" s="187"/>
      <c r="K560" s="187"/>
      <c r="L560" s="187"/>
      <c r="M560" s="187"/>
      <c r="N560" s="187"/>
      <c r="O560" s="187"/>
      <c r="P560" s="187"/>
      <c r="Q560" s="187"/>
      <c r="R560" s="187"/>
      <c r="S560" s="188"/>
    </row>
    <row r="561" spans="2:19" ht="12.75">
      <c r="B561" s="185"/>
      <c r="C561" s="186"/>
      <c r="D561" s="187"/>
      <c r="E561" s="187"/>
      <c r="F561" s="187"/>
      <c r="G561" s="187"/>
      <c r="H561" s="187"/>
      <c r="I561" s="187"/>
      <c r="J561" s="187"/>
      <c r="K561" s="187"/>
      <c r="L561" s="187"/>
      <c r="M561" s="187"/>
      <c r="N561" s="187"/>
      <c r="O561" s="187"/>
      <c r="P561" s="187"/>
      <c r="Q561" s="187"/>
      <c r="R561" s="187"/>
      <c r="S561" s="188"/>
    </row>
    <row r="562" spans="2:19" ht="12.75">
      <c r="B562" s="185"/>
      <c r="C562" s="186"/>
      <c r="D562" s="187"/>
      <c r="E562" s="187"/>
      <c r="F562" s="187"/>
      <c r="G562" s="187"/>
      <c r="H562" s="187"/>
      <c r="I562" s="187"/>
      <c r="J562" s="187"/>
      <c r="K562" s="187"/>
      <c r="L562" s="187"/>
      <c r="M562" s="187"/>
      <c r="N562" s="187"/>
      <c r="O562" s="187"/>
      <c r="P562" s="187"/>
      <c r="Q562" s="187"/>
      <c r="R562" s="187"/>
      <c r="S562" s="188"/>
    </row>
    <row r="563" spans="2:19" ht="12.75">
      <c r="B563" s="185"/>
      <c r="C563" s="186"/>
      <c r="D563" s="187"/>
      <c r="E563" s="187"/>
      <c r="F563" s="187"/>
      <c r="G563" s="187"/>
      <c r="H563" s="187"/>
      <c r="I563" s="187"/>
      <c r="J563" s="187"/>
      <c r="K563" s="187"/>
      <c r="L563" s="187"/>
      <c r="M563" s="187"/>
      <c r="N563" s="187"/>
      <c r="O563" s="187"/>
      <c r="P563" s="187"/>
      <c r="Q563" s="187"/>
      <c r="R563" s="187"/>
      <c r="S563" s="188"/>
    </row>
    <row r="564" spans="2:19" ht="12.75">
      <c r="B564" s="185"/>
      <c r="C564" s="186"/>
      <c r="D564" s="187"/>
      <c r="E564" s="187"/>
      <c r="F564" s="187"/>
      <c r="G564" s="187"/>
      <c r="H564" s="187"/>
      <c r="I564" s="187"/>
      <c r="J564" s="187"/>
      <c r="K564" s="187"/>
      <c r="L564" s="187"/>
      <c r="M564" s="187"/>
      <c r="N564" s="187"/>
      <c r="O564" s="187"/>
      <c r="P564" s="187"/>
      <c r="Q564" s="187"/>
      <c r="R564" s="187"/>
      <c r="S564" s="188"/>
    </row>
    <row r="565" spans="2:19" ht="12.75">
      <c r="B565" s="185"/>
      <c r="C565" s="186"/>
      <c r="D565" s="187"/>
      <c r="E565" s="187"/>
      <c r="F565" s="187"/>
      <c r="G565" s="187"/>
      <c r="H565" s="187"/>
      <c r="I565" s="187"/>
      <c r="J565" s="187"/>
      <c r="K565" s="187"/>
      <c r="L565" s="187"/>
      <c r="M565" s="187"/>
      <c r="N565" s="187"/>
      <c r="O565" s="187"/>
      <c r="P565" s="187"/>
      <c r="Q565" s="187"/>
      <c r="R565" s="187"/>
      <c r="S565" s="188"/>
    </row>
    <row r="566" spans="2:19" ht="12.75">
      <c r="B566" s="185"/>
      <c r="C566" s="186"/>
      <c r="D566" s="187"/>
      <c r="E566" s="187"/>
      <c r="F566" s="187"/>
      <c r="G566" s="187"/>
      <c r="H566" s="187"/>
      <c r="I566" s="187"/>
      <c r="J566" s="187"/>
      <c r="K566" s="187"/>
      <c r="L566" s="187"/>
      <c r="M566" s="187"/>
      <c r="N566" s="187"/>
      <c r="O566" s="187"/>
      <c r="P566" s="187"/>
      <c r="Q566" s="187"/>
      <c r="R566" s="187"/>
      <c r="S566" s="188"/>
    </row>
    <row r="567" spans="2:19" ht="12.75">
      <c r="B567" s="185"/>
      <c r="C567" s="186"/>
      <c r="D567" s="187"/>
      <c r="E567" s="187"/>
      <c r="F567" s="187"/>
      <c r="G567" s="187"/>
      <c r="H567" s="187"/>
      <c r="I567" s="187"/>
      <c r="J567" s="187"/>
      <c r="K567" s="187"/>
      <c r="L567" s="187"/>
      <c r="M567" s="187"/>
      <c r="N567" s="187"/>
      <c r="O567" s="187"/>
      <c r="P567" s="187"/>
      <c r="Q567" s="187"/>
      <c r="R567" s="187"/>
      <c r="S567" s="188"/>
    </row>
    <row r="568" spans="2:19" ht="12.75">
      <c r="B568" s="185"/>
      <c r="C568" s="186"/>
      <c r="D568" s="187"/>
      <c r="E568" s="187"/>
      <c r="F568" s="187"/>
      <c r="G568" s="187"/>
      <c r="H568" s="187"/>
      <c r="I568" s="187"/>
      <c r="J568" s="187"/>
      <c r="K568" s="187"/>
      <c r="L568" s="187"/>
      <c r="M568" s="187"/>
      <c r="N568" s="187"/>
      <c r="O568" s="187"/>
      <c r="P568" s="187"/>
      <c r="Q568" s="187"/>
      <c r="R568" s="187"/>
      <c r="S568" s="188"/>
    </row>
    <row r="569" spans="2:19" ht="12.75">
      <c r="B569" s="185"/>
      <c r="C569" s="186"/>
      <c r="D569" s="187"/>
      <c r="E569" s="187"/>
      <c r="F569" s="187"/>
      <c r="G569" s="187"/>
      <c r="H569" s="187"/>
      <c r="I569" s="187"/>
      <c r="J569" s="187"/>
      <c r="K569" s="187"/>
      <c r="L569" s="187"/>
      <c r="M569" s="187"/>
      <c r="N569" s="187"/>
      <c r="O569" s="187"/>
      <c r="P569" s="187"/>
      <c r="Q569" s="187"/>
      <c r="R569" s="187"/>
      <c r="S569" s="188"/>
    </row>
    <row r="570" spans="2:19" ht="12.75">
      <c r="B570" s="185"/>
      <c r="C570" s="186"/>
      <c r="D570" s="187"/>
      <c r="E570" s="187"/>
      <c r="F570" s="187"/>
      <c r="G570" s="187"/>
      <c r="H570" s="187"/>
      <c r="I570" s="187"/>
      <c r="J570" s="187"/>
      <c r="K570" s="187"/>
      <c r="L570" s="187"/>
      <c r="M570" s="187"/>
      <c r="N570" s="187"/>
      <c r="O570" s="187"/>
      <c r="P570" s="187"/>
      <c r="Q570" s="187"/>
      <c r="R570" s="187"/>
      <c r="S570" s="188"/>
    </row>
    <row r="571" spans="2:19" ht="12.75">
      <c r="B571" s="185"/>
      <c r="C571" s="186"/>
      <c r="D571" s="187"/>
      <c r="E571" s="187"/>
      <c r="F571" s="187"/>
      <c r="G571" s="187"/>
      <c r="H571" s="187"/>
      <c r="I571" s="187"/>
      <c r="J571" s="187"/>
      <c r="K571" s="187"/>
      <c r="L571" s="187"/>
      <c r="M571" s="187"/>
      <c r="N571" s="187"/>
      <c r="O571" s="187"/>
      <c r="P571" s="187"/>
      <c r="Q571" s="187"/>
      <c r="R571" s="187"/>
      <c r="S571" s="188"/>
    </row>
    <row r="572" spans="2:19" ht="12.75">
      <c r="B572" s="185"/>
      <c r="C572" s="186"/>
      <c r="D572" s="187"/>
      <c r="E572" s="187"/>
      <c r="F572" s="187"/>
      <c r="G572" s="187"/>
      <c r="H572" s="187"/>
      <c r="I572" s="187"/>
      <c r="J572" s="187"/>
      <c r="K572" s="187"/>
      <c r="L572" s="187"/>
      <c r="M572" s="187"/>
      <c r="N572" s="187"/>
      <c r="O572" s="187"/>
      <c r="P572" s="187"/>
      <c r="Q572" s="187"/>
      <c r="R572" s="187"/>
      <c r="S572" s="188"/>
    </row>
    <row r="573" spans="2:19" ht="12.75">
      <c r="B573" s="185"/>
      <c r="C573" s="186"/>
      <c r="D573" s="187"/>
      <c r="E573" s="187"/>
      <c r="F573" s="187"/>
      <c r="G573" s="187"/>
      <c r="H573" s="187"/>
      <c r="I573" s="187"/>
      <c r="J573" s="187"/>
      <c r="K573" s="187"/>
      <c r="L573" s="187"/>
      <c r="M573" s="187"/>
      <c r="N573" s="187"/>
      <c r="O573" s="187"/>
      <c r="P573" s="187"/>
      <c r="Q573" s="187"/>
      <c r="R573" s="187"/>
      <c r="S573" s="188"/>
    </row>
    <row r="574" spans="2:19" ht="12.75">
      <c r="B574" s="185"/>
      <c r="C574" s="186"/>
      <c r="D574" s="187"/>
      <c r="E574" s="187"/>
      <c r="F574" s="187"/>
      <c r="G574" s="187"/>
      <c r="H574" s="187"/>
      <c r="I574" s="187"/>
      <c r="J574" s="187"/>
      <c r="K574" s="187"/>
      <c r="L574" s="187"/>
      <c r="M574" s="187"/>
      <c r="N574" s="187"/>
      <c r="O574" s="187"/>
      <c r="P574" s="187"/>
      <c r="Q574" s="187"/>
      <c r="R574" s="187"/>
      <c r="S574" s="188"/>
    </row>
    <row r="575" spans="2:19" ht="12.75">
      <c r="B575" s="185"/>
      <c r="C575" s="186"/>
      <c r="D575" s="187"/>
      <c r="E575" s="187"/>
      <c r="F575" s="187"/>
      <c r="G575" s="187"/>
      <c r="H575" s="187"/>
      <c r="I575" s="187"/>
      <c r="J575" s="187"/>
      <c r="K575" s="187"/>
      <c r="L575" s="187"/>
      <c r="M575" s="187"/>
      <c r="N575" s="187"/>
      <c r="O575" s="187"/>
      <c r="P575" s="187"/>
      <c r="Q575" s="187"/>
      <c r="R575" s="187"/>
      <c r="S575" s="188"/>
    </row>
    <row r="576" spans="2:19" ht="12.75">
      <c r="B576" s="185"/>
      <c r="C576" s="186"/>
      <c r="D576" s="187"/>
      <c r="E576" s="187"/>
      <c r="F576" s="187"/>
      <c r="G576" s="187"/>
      <c r="H576" s="187"/>
      <c r="I576" s="187"/>
      <c r="J576" s="187"/>
      <c r="K576" s="187"/>
      <c r="L576" s="187"/>
      <c r="M576" s="187"/>
      <c r="N576" s="187"/>
      <c r="O576" s="187"/>
      <c r="P576" s="187"/>
      <c r="Q576" s="187"/>
      <c r="R576" s="187"/>
      <c r="S576" s="188"/>
    </row>
    <row r="577" spans="2:19" ht="12.75">
      <c r="B577" s="185"/>
      <c r="C577" s="186"/>
      <c r="D577" s="187"/>
      <c r="E577" s="187"/>
      <c r="F577" s="187"/>
      <c r="G577" s="187"/>
      <c r="H577" s="187"/>
      <c r="I577" s="187"/>
      <c r="J577" s="187"/>
      <c r="K577" s="187"/>
      <c r="L577" s="187"/>
      <c r="M577" s="187"/>
      <c r="N577" s="187"/>
      <c r="O577" s="187"/>
      <c r="P577" s="187"/>
      <c r="Q577" s="187"/>
      <c r="R577" s="187"/>
      <c r="S577" s="188"/>
    </row>
    <row r="578" spans="2:19" ht="12.75">
      <c r="B578" s="185"/>
      <c r="C578" s="186"/>
      <c r="D578" s="187"/>
      <c r="E578" s="187"/>
      <c r="F578" s="187"/>
      <c r="G578" s="187"/>
      <c r="H578" s="187"/>
      <c r="I578" s="187"/>
      <c r="J578" s="187"/>
      <c r="K578" s="187"/>
      <c r="L578" s="187"/>
      <c r="M578" s="187"/>
      <c r="N578" s="187"/>
      <c r="O578" s="187"/>
      <c r="P578" s="187"/>
      <c r="Q578" s="187"/>
      <c r="R578" s="187"/>
      <c r="S578" s="188"/>
    </row>
    <row r="579" spans="2:19" ht="12.75">
      <c r="B579" s="185"/>
      <c r="C579" s="186"/>
      <c r="D579" s="187"/>
      <c r="E579" s="187"/>
      <c r="F579" s="187"/>
      <c r="G579" s="187"/>
      <c r="H579" s="187"/>
      <c r="I579" s="187"/>
      <c r="J579" s="187"/>
      <c r="K579" s="187"/>
      <c r="L579" s="187"/>
      <c r="M579" s="187"/>
      <c r="N579" s="187"/>
      <c r="O579" s="187"/>
      <c r="P579" s="187"/>
      <c r="Q579" s="187"/>
      <c r="R579" s="187"/>
      <c r="S579" s="188"/>
    </row>
    <row r="580" spans="2:19" ht="12.75">
      <c r="B580" s="185"/>
      <c r="C580" s="186"/>
      <c r="D580" s="187"/>
      <c r="E580" s="187"/>
      <c r="F580" s="187"/>
      <c r="G580" s="187"/>
      <c r="H580" s="187"/>
      <c r="I580" s="187"/>
      <c r="J580" s="187"/>
      <c r="K580" s="187"/>
      <c r="L580" s="187"/>
      <c r="M580" s="187"/>
      <c r="N580" s="187"/>
      <c r="O580" s="187"/>
      <c r="P580" s="187"/>
      <c r="Q580" s="187"/>
      <c r="R580" s="187"/>
      <c r="S580" s="188"/>
    </row>
    <row r="581" spans="2:19" ht="12.75">
      <c r="B581" s="185"/>
      <c r="C581" s="186"/>
      <c r="D581" s="187"/>
      <c r="E581" s="187"/>
      <c r="F581" s="187"/>
      <c r="G581" s="187"/>
      <c r="H581" s="187"/>
      <c r="I581" s="187"/>
      <c r="J581" s="187"/>
      <c r="K581" s="187"/>
      <c r="L581" s="187"/>
      <c r="M581" s="187"/>
      <c r="N581" s="187"/>
      <c r="O581" s="187"/>
      <c r="P581" s="187"/>
      <c r="Q581" s="187"/>
      <c r="R581" s="187"/>
      <c r="S581" s="188"/>
    </row>
    <row r="582" spans="2:19" ht="12.75">
      <c r="B582" s="185"/>
      <c r="C582" s="186"/>
      <c r="D582" s="187"/>
      <c r="E582" s="187"/>
      <c r="F582" s="187"/>
      <c r="G582" s="187"/>
      <c r="H582" s="187"/>
      <c r="I582" s="187"/>
      <c r="J582" s="187"/>
      <c r="K582" s="187"/>
      <c r="L582" s="187"/>
      <c r="M582" s="187"/>
      <c r="N582" s="187"/>
      <c r="O582" s="187"/>
      <c r="P582" s="187"/>
      <c r="Q582" s="187"/>
      <c r="R582" s="187"/>
      <c r="S582" s="188"/>
    </row>
    <row r="583" spans="2:19" ht="12.75">
      <c r="B583" s="185"/>
      <c r="C583" s="186"/>
      <c r="D583" s="187"/>
      <c r="E583" s="187"/>
      <c r="F583" s="187"/>
      <c r="G583" s="187"/>
      <c r="H583" s="187"/>
      <c r="I583" s="187"/>
      <c r="J583" s="187"/>
      <c r="K583" s="187"/>
      <c r="L583" s="187"/>
      <c r="M583" s="187"/>
      <c r="N583" s="187"/>
      <c r="O583" s="187"/>
      <c r="P583" s="187"/>
      <c r="Q583" s="187"/>
      <c r="R583" s="187"/>
      <c r="S583" s="188"/>
    </row>
    <row r="584" spans="2:19" ht="12.75">
      <c r="B584" s="185"/>
      <c r="C584" s="186"/>
      <c r="D584" s="187"/>
      <c r="E584" s="187"/>
      <c r="F584" s="187"/>
      <c r="G584" s="187"/>
      <c r="H584" s="187"/>
      <c r="I584" s="187"/>
      <c r="J584" s="187"/>
      <c r="K584" s="187"/>
      <c r="L584" s="187"/>
      <c r="M584" s="187"/>
      <c r="N584" s="187"/>
      <c r="O584" s="187"/>
      <c r="P584" s="187"/>
      <c r="Q584" s="187"/>
      <c r="R584" s="187"/>
      <c r="S584" s="188"/>
    </row>
    <row r="585" spans="2:19" ht="12.75">
      <c r="B585" s="185"/>
      <c r="C585" s="186"/>
      <c r="D585" s="187"/>
      <c r="E585" s="187"/>
      <c r="F585" s="187"/>
      <c r="G585" s="187"/>
      <c r="H585" s="187"/>
      <c r="I585" s="187"/>
      <c r="J585" s="187"/>
      <c r="K585" s="187"/>
      <c r="L585" s="187"/>
      <c r="M585" s="187"/>
      <c r="N585" s="187"/>
      <c r="O585" s="187"/>
      <c r="P585" s="187"/>
      <c r="Q585" s="187"/>
      <c r="R585" s="187"/>
      <c r="S585" s="188"/>
    </row>
    <row r="586" spans="2:19" ht="12.75">
      <c r="B586" s="185"/>
      <c r="C586" s="186"/>
      <c r="D586" s="187"/>
      <c r="E586" s="187"/>
      <c r="F586" s="187"/>
      <c r="G586" s="187"/>
      <c r="H586" s="187"/>
      <c r="I586" s="187"/>
      <c r="J586" s="187"/>
      <c r="K586" s="187"/>
      <c r="L586" s="187"/>
      <c r="M586" s="187"/>
      <c r="N586" s="187"/>
      <c r="O586" s="187"/>
      <c r="P586" s="187"/>
      <c r="Q586" s="187"/>
      <c r="R586" s="187"/>
      <c r="S586" s="188"/>
    </row>
    <row r="587" spans="2:19" ht="12.75">
      <c r="B587" s="185"/>
      <c r="C587" s="186"/>
      <c r="D587" s="187"/>
      <c r="E587" s="187"/>
      <c r="F587" s="187"/>
      <c r="G587" s="187"/>
      <c r="H587" s="187"/>
      <c r="I587" s="187"/>
      <c r="J587" s="187"/>
      <c r="K587" s="187"/>
      <c r="L587" s="187"/>
      <c r="M587" s="187"/>
      <c r="N587" s="187"/>
      <c r="O587" s="187"/>
      <c r="P587" s="187"/>
      <c r="Q587" s="187"/>
      <c r="R587" s="187"/>
      <c r="S587" s="188"/>
    </row>
    <row r="588" spans="2:19" ht="12.75">
      <c r="B588" s="185"/>
      <c r="C588" s="186"/>
      <c r="D588" s="187"/>
      <c r="E588" s="187"/>
      <c r="F588" s="187"/>
      <c r="G588" s="187"/>
      <c r="H588" s="187"/>
      <c r="I588" s="187"/>
      <c r="J588" s="187"/>
      <c r="K588" s="187"/>
      <c r="L588" s="187"/>
      <c r="M588" s="187"/>
      <c r="N588" s="187"/>
      <c r="O588" s="187"/>
      <c r="P588" s="187"/>
      <c r="Q588" s="187"/>
      <c r="R588" s="187"/>
      <c r="S588" s="188"/>
    </row>
    <row r="589" spans="2:19" ht="12.75">
      <c r="B589" s="185"/>
      <c r="C589" s="186"/>
      <c r="D589" s="187"/>
      <c r="E589" s="187"/>
      <c r="F589" s="187"/>
      <c r="G589" s="187"/>
      <c r="H589" s="187"/>
      <c r="I589" s="187"/>
      <c r="J589" s="187"/>
      <c r="K589" s="187"/>
      <c r="L589" s="187"/>
      <c r="M589" s="187"/>
      <c r="N589" s="187"/>
      <c r="O589" s="187"/>
      <c r="P589" s="187"/>
      <c r="Q589" s="187"/>
      <c r="R589" s="187"/>
      <c r="S589" s="188"/>
    </row>
    <row r="590" spans="2:19" ht="12.75">
      <c r="B590" s="185"/>
      <c r="C590" s="186"/>
      <c r="D590" s="187"/>
      <c r="E590" s="187"/>
      <c r="F590" s="187"/>
      <c r="G590" s="187"/>
      <c r="H590" s="187"/>
      <c r="I590" s="187"/>
      <c r="J590" s="187"/>
      <c r="K590" s="187"/>
      <c r="L590" s="187"/>
      <c r="M590" s="187"/>
      <c r="N590" s="187"/>
      <c r="O590" s="187"/>
      <c r="P590" s="187"/>
      <c r="Q590" s="187"/>
      <c r="R590" s="187"/>
      <c r="S590" s="188"/>
    </row>
    <row r="591" spans="2:19" ht="12.75">
      <c r="B591" s="185"/>
      <c r="C591" s="186"/>
      <c r="D591" s="187"/>
      <c r="E591" s="187"/>
      <c r="F591" s="187"/>
      <c r="G591" s="187"/>
      <c r="H591" s="187"/>
      <c r="I591" s="187"/>
      <c r="J591" s="187"/>
      <c r="K591" s="187"/>
      <c r="L591" s="187"/>
      <c r="M591" s="187"/>
      <c r="N591" s="187"/>
      <c r="O591" s="187"/>
      <c r="P591" s="187"/>
      <c r="Q591" s="187"/>
      <c r="R591" s="187"/>
      <c r="S591" s="188"/>
    </row>
    <row r="592" spans="2:19" ht="12.75">
      <c r="B592" s="185"/>
      <c r="C592" s="186"/>
      <c r="D592" s="187"/>
      <c r="E592" s="187"/>
      <c r="F592" s="187"/>
      <c r="G592" s="187"/>
      <c r="H592" s="187"/>
      <c r="I592" s="187"/>
      <c r="J592" s="187"/>
      <c r="K592" s="187"/>
      <c r="L592" s="187"/>
      <c r="M592" s="187"/>
      <c r="N592" s="187"/>
      <c r="O592" s="187"/>
      <c r="P592" s="187"/>
      <c r="Q592" s="187"/>
      <c r="R592" s="187"/>
      <c r="S592" s="188"/>
    </row>
    <row r="593" spans="2:19" ht="12.75">
      <c r="B593" s="185"/>
      <c r="C593" s="186"/>
      <c r="D593" s="187"/>
      <c r="E593" s="187"/>
      <c r="F593" s="187"/>
      <c r="G593" s="187"/>
      <c r="H593" s="187"/>
      <c r="I593" s="187"/>
      <c r="J593" s="187"/>
      <c r="K593" s="187"/>
      <c r="L593" s="187"/>
      <c r="M593" s="187"/>
      <c r="N593" s="187"/>
      <c r="O593" s="187"/>
      <c r="P593" s="187"/>
      <c r="Q593" s="187"/>
      <c r="R593" s="187"/>
      <c r="S593" s="188"/>
    </row>
    <row r="594" spans="2:19" ht="12.75">
      <c r="B594" s="185"/>
      <c r="C594" s="186"/>
      <c r="D594" s="187"/>
      <c r="E594" s="187"/>
      <c r="F594" s="187"/>
      <c r="G594" s="187"/>
      <c r="H594" s="187"/>
      <c r="I594" s="187"/>
      <c r="J594" s="187"/>
      <c r="K594" s="187"/>
      <c r="L594" s="187"/>
      <c r="M594" s="187"/>
      <c r="N594" s="187"/>
      <c r="O594" s="187"/>
      <c r="P594" s="187"/>
      <c r="Q594" s="187"/>
      <c r="R594" s="187"/>
      <c r="S594" s="188"/>
    </row>
    <row r="595" spans="2:19" ht="12.75">
      <c r="B595" s="185"/>
      <c r="C595" s="186"/>
      <c r="D595" s="187"/>
      <c r="E595" s="187"/>
      <c r="F595" s="187"/>
      <c r="G595" s="187"/>
      <c r="H595" s="187"/>
      <c r="I595" s="187"/>
      <c r="J595" s="187"/>
      <c r="K595" s="187"/>
      <c r="L595" s="187"/>
      <c r="M595" s="187"/>
      <c r="N595" s="187"/>
      <c r="O595" s="187"/>
      <c r="P595" s="187"/>
      <c r="Q595" s="187"/>
      <c r="R595" s="187"/>
      <c r="S595" s="188"/>
    </row>
    <row r="596" spans="2:19" ht="12.75">
      <c r="B596" s="185"/>
      <c r="C596" s="186"/>
      <c r="D596" s="187"/>
      <c r="E596" s="187"/>
      <c r="F596" s="187"/>
      <c r="G596" s="187"/>
      <c r="H596" s="187"/>
      <c r="I596" s="187"/>
      <c r="J596" s="187"/>
      <c r="K596" s="187"/>
      <c r="L596" s="187"/>
      <c r="M596" s="187"/>
      <c r="N596" s="187"/>
      <c r="O596" s="187"/>
      <c r="P596" s="187"/>
      <c r="Q596" s="187"/>
      <c r="R596" s="187"/>
      <c r="S596" s="188"/>
    </row>
    <row r="597" spans="2:19" ht="12.75">
      <c r="B597" s="185"/>
      <c r="C597" s="186"/>
      <c r="D597" s="187"/>
      <c r="E597" s="187"/>
      <c r="F597" s="187"/>
      <c r="G597" s="187"/>
      <c r="H597" s="187"/>
      <c r="I597" s="187"/>
      <c r="J597" s="187"/>
      <c r="K597" s="187"/>
      <c r="L597" s="187"/>
      <c r="M597" s="187"/>
      <c r="N597" s="187"/>
      <c r="O597" s="187"/>
      <c r="P597" s="187"/>
      <c r="Q597" s="187"/>
      <c r="R597" s="187"/>
      <c r="S597" s="188"/>
    </row>
    <row r="598" spans="2:19" ht="12.75">
      <c r="B598" s="185"/>
      <c r="C598" s="186"/>
      <c r="D598" s="187"/>
      <c r="E598" s="187"/>
      <c r="F598" s="187"/>
      <c r="G598" s="187"/>
      <c r="H598" s="187"/>
      <c r="I598" s="187"/>
      <c r="J598" s="187"/>
      <c r="K598" s="187"/>
      <c r="L598" s="187"/>
      <c r="M598" s="187"/>
      <c r="N598" s="187"/>
      <c r="O598" s="187"/>
      <c r="P598" s="187"/>
      <c r="Q598" s="187"/>
      <c r="R598" s="187"/>
      <c r="S598" s="188"/>
    </row>
    <row r="599" spans="2:19" ht="12.75">
      <c r="B599" s="185"/>
      <c r="C599" s="186"/>
      <c r="D599" s="187"/>
      <c r="E599" s="187"/>
      <c r="F599" s="187"/>
      <c r="G599" s="187"/>
      <c r="H599" s="187"/>
      <c r="I599" s="187"/>
      <c r="J599" s="187"/>
      <c r="K599" s="187"/>
      <c r="L599" s="187"/>
      <c r="M599" s="187"/>
      <c r="N599" s="187"/>
      <c r="O599" s="187"/>
      <c r="P599" s="187"/>
      <c r="Q599" s="187"/>
      <c r="R599" s="187"/>
      <c r="S599" s="188"/>
    </row>
    <row r="600" spans="2:19" ht="12.75">
      <c r="B600" s="185"/>
      <c r="C600" s="186"/>
      <c r="D600" s="187"/>
      <c r="E600" s="187"/>
      <c r="F600" s="187"/>
      <c r="G600" s="187"/>
      <c r="H600" s="187"/>
      <c r="I600" s="187"/>
      <c r="J600" s="187"/>
      <c r="K600" s="187"/>
      <c r="L600" s="187"/>
      <c r="M600" s="187"/>
      <c r="N600" s="187"/>
      <c r="O600" s="187"/>
      <c r="P600" s="187"/>
      <c r="Q600" s="187"/>
      <c r="R600" s="187"/>
      <c r="S600" s="188"/>
    </row>
    <row r="601" spans="2:19" ht="12.75">
      <c r="B601" s="185"/>
      <c r="C601" s="186"/>
      <c r="D601" s="187"/>
      <c r="E601" s="187"/>
      <c r="F601" s="187"/>
      <c r="G601" s="187"/>
      <c r="H601" s="187"/>
      <c r="I601" s="187"/>
      <c r="J601" s="187"/>
      <c r="K601" s="187"/>
      <c r="L601" s="187"/>
      <c r="M601" s="187"/>
      <c r="N601" s="187"/>
      <c r="O601" s="187"/>
      <c r="P601" s="187"/>
      <c r="Q601" s="187"/>
      <c r="R601" s="187"/>
      <c r="S601" s="188"/>
    </row>
    <row r="602" spans="2:19" ht="12.75">
      <c r="B602" s="185"/>
      <c r="C602" s="186"/>
      <c r="D602" s="187"/>
      <c r="E602" s="187"/>
      <c r="F602" s="187"/>
      <c r="G602" s="187"/>
      <c r="H602" s="187"/>
      <c r="I602" s="187"/>
      <c r="J602" s="187"/>
      <c r="K602" s="187"/>
      <c r="L602" s="187"/>
      <c r="M602" s="187"/>
      <c r="N602" s="187"/>
      <c r="O602" s="187"/>
      <c r="P602" s="187"/>
      <c r="Q602" s="187"/>
      <c r="R602" s="187"/>
      <c r="S602" s="188"/>
    </row>
    <row r="603" spans="2:19" ht="12.75">
      <c r="B603" s="185"/>
      <c r="C603" s="186"/>
      <c r="D603" s="187"/>
      <c r="E603" s="187"/>
      <c r="F603" s="187"/>
      <c r="G603" s="187"/>
      <c r="H603" s="187"/>
      <c r="I603" s="187"/>
      <c r="J603" s="187"/>
      <c r="K603" s="187"/>
      <c r="L603" s="187"/>
      <c r="M603" s="187"/>
      <c r="N603" s="187"/>
      <c r="O603" s="187"/>
      <c r="P603" s="187"/>
      <c r="Q603" s="187"/>
      <c r="R603" s="187"/>
      <c r="S603" s="188"/>
    </row>
    <row r="604" spans="2:19" ht="12.75">
      <c r="B604" s="185"/>
      <c r="C604" s="186"/>
      <c r="D604" s="187"/>
      <c r="E604" s="187"/>
      <c r="F604" s="187"/>
      <c r="G604" s="187"/>
      <c r="H604" s="187"/>
      <c r="I604" s="187"/>
      <c r="J604" s="187"/>
      <c r="K604" s="187"/>
      <c r="L604" s="187"/>
      <c r="M604" s="187"/>
      <c r="N604" s="187"/>
      <c r="O604" s="187"/>
      <c r="P604" s="187"/>
      <c r="Q604" s="187"/>
      <c r="R604" s="187"/>
      <c r="S604" s="188"/>
    </row>
    <row r="605" spans="2:19" ht="12.75">
      <c r="B605" s="185"/>
      <c r="C605" s="186"/>
      <c r="D605" s="187"/>
      <c r="E605" s="187"/>
      <c r="F605" s="187"/>
      <c r="G605" s="187"/>
      <c r="H605" s="187"/>
      <c r="I605" s="187"/>
      <c r="J605" s="187"/>
      <c r="K605" s="187"/>
      <c r="L605" s="187"/>
      <c r="M605" s="187"/>
      <c r="N605" s="187"/>
      <c r="O605" s="187"/>
      <c r="P605" s="187"/>
      <c r="Q605" s="187"/>
      <c r="R605" s="187"/>
      <c r="S605" s="188"/>
    </row>
    <row r="606" spans="2:19" ht="12.75">
      <c r="B606" s="185"/>
      <c r="C606" s="186"/>
      <c r="D606" s="187"/>
      <c r="E606" s="187"/>
      <c r="F606" s="187"/>
      <c r="G606" s="187"/>
      <c r="H606" s="187"/>
      <c r="I606" s="187"/>
      <c r="J606" s="187"/>
      <c r="K606" s="187"/>
      <c r="L606" s="187"/>
      <c r="M606" s="187"/>
      <c r="N606" s="187"/>
      <c r="O606" s="187"/>
      <c r="P606" s="187"/>
      <c r="Q606" s="187"/>
      <c r="R606" s="187"/>
      <c r="S606" s="188"/>
    </row>
    <row r="607" spans="2:19" ht="12.75">
      <c r="B607" s="185"/>
      <c r="C607" s="186"/>
      <c r="D607" s="187"/>
      <c r="E607" s="187"/>
      <c r="F607" s="187"/>
      <c r="G607" s="187"/>
      <c r="H607" s="187"/>
      <c r="I607" s="187"/>
      <c r="J607" s="187"/>
      <c r="K607" s="187"/>
      <c r="L607" s="187"/>
      <c r="M607" s="187"/>
      <c r="N607" s="187"/>
      <c r="O607" s="187"/>
      <c r="P607" s="187"/>
      <c r="Q607" s="187"/>
      <c r="R607" s="187"/>
      <c r="S607" s="188"/>
    </row>
    <row r="608" spans="2:19" ht="12.75">
      <c r="B608" s="185"/>
      <c r="C608" s="186"/>
      <c r="D608" s="187"/>
      <c r="E608" s="187"/>
      <c r="F608" s="187"/>
      <c r="G608" s="187"/>
      <c r="H608" s="187"/>
      <c r="I608" s="187"/>
      <c r="J608" s="187"/>
      <c r="K608" s="187"/>
      <c r="L608" s="187"/>
      <c r="M608" s="187"/>
      <c r="N608" s="187"/>
      <c r="O608" s="187"/>
      <c r="P608" s="187"/>
      <c r="Q608" s="187"/>
      <c r="R608" s="187"/>
      <c r="S608" s="188"/>
    </row>
    <row r="609" spans="2:19" ht="12.75">
      <c r="B609" s="185"/>
      <c r="C609" s="186"/>
      <c r="D609" s="187"/>
      <c r="E609" s="187"/>
      <c r="F609" s="187"/>
      <c r="G609" s="187"/>
      <c r="H609" s="187"/>
      <c r="I609" s="187"/>
      <c r="J609" s="187"/>
      <c r="K609" s="187"/>
      <c r="L609" s="187"/>
      <c r="M609" s="187"/>
      <c r="N609" s="187"/>
      <c r="O609" s="187"/>
      <c r="P609" s="187"/>
      <c r="Q609" s="187"/>
      <c r="R609" s="187"/>
      <c r="S609" s="188"/>
    </row>
    <row r="610" spans="2:19" ht="12.75">
      <c r="B610" s="185"/>
      <c r="C610" s="186"/>
      <c r="D610" s="187"/>
      <c r="E610" s="187"/>
      <c r="F610" s="187"/>
      <c r="G610" s="187"/>
      <c r="H610" s="187"/>
      <c r="I610" s="187"/>
      <c r="J610" s="187"/>
      <c r="K610" s="187"/>
      <c r="L610" s="187"/>
      <c r="M610" s="187"/>
      <c r="N610" s="187"/>
      <c r="O610" s="187"/>
      <c r="P610" s="187"/>
      <c r="Q610" s="187"/>
      <c r="R610" s="187"/>
      <c r="S610" s="188"/>
    </row>
    <row r="611" spans="2:19" ht="12.75">
      <c r="B611" s="185"/>
      <c r="C611" s="186"/>
      <c r="D611" s="187"/>
      <c r="E611" s="187"/>
      <c r="F611" s="187"/>
      <c r="G611" s="187"/>
      <c r="H611" s="187"/>
      <c r="I611" s="187"/>
      <c r="J611" s="187"/>
      <c r="K611" s="187"/>
      <c r="L611" s="187"/>
      <c r="M611" s="187"/>
      <c r="N611" s="187"/>
      <c r="O611" s="187"/>
      <c r="P611" s="187"/>
      <c r="Q611" s="187"/>
      <c r="R611" s="187"/>
      <c r="S611" s="188"/>
    </row>
    <row r="612" spans="2:19" ht="12.75">
      <c r="B612" s="185"/>
      <c r="C612" s="186"/>
      <c r="D612" s="187"/>
      <c r="E612" s="187"/>
      <c r="F612" s="187"/>
      <c r="G612" s="187"/>
      <c r="H612" s="187"/>
      <c r="I612" s="187"/>
      <c r="J612" s="187"/>
      <c r="K612" s="187"/>
      <c r="L612" s="187"/>
      <c r="M612" s="187"/>
      <c r="N612" s="187"/>
      <c r="O612" s="187"/>
      <c r="P612" s="187"/>
      <c r="Q612" s="187"/>
      <c r="R612" s="187"/>
      <c r="S612" s="188"/>
    </row>
    <row r="613" spans="2:19" ht="12.75">
      <c r="B613" s="185"/>
      <c r="C613" s="186"/>
      <c r="D613" s="187"/>
      <c r="E613" s="187"/>
      <c r="F613" s="187"/>
      <c r="G613" s="187"/>
      <c r="H613" s="187"/>
      <c r="I613" s="187"/>
      <c r="J613" s="187"/>
      <c r="K613" s="187"/>
      <c r="L613" s="187"/>
      <c r="M613" s="187"/>
      <c r="N613" s="187"/>
      <c r="O613" s="187"/>
      <c r="P613" s="187"/>
      <c r="Q613" s="187"/>
      <c r="R613" s="187"/>
      <c r="S613" s="188"/>
    </row>
    <row r="614" spans="2:19" ht="12.75">
      <c r="B614" s="185"/>
      <c r="C614" s="186"/>
      <c r="D614" s="187"/>
      <c r="E614" s="187"/>
      <c r="F614" s="187"/>
      <c r="G614" s="187"/>
      <c r="H614" s="187"/>
      <c r="I614" s="187"/>
      <c r="J614" s="187"/>
      <c r="K614" s="187"/>
      <c r="L614" s="187"/>
      <c r="M614" s="187"/>
      <c r="N614" s="187"/>
      <c r="O614" s="187"/>
      <c r="P614" s="187"/>
      <c r="Q614" s="187"/>
      <c r="R614" s="187"/>
      <c r="S614" s="188"/>
    </row>
    <row r="615" spans="2:19" ht="12.75">
      <c r="B615" s="185"/>
      <c r="C615" s="186"/>
      <c r="D615" s="187"/>
      <c r="E615" s="187"/>
      <c r="F615" s="187"/>
      <c r="G615" s="187"/>
      <c r="H615" s="187"/>
      <c r="I615" s="187"/>
      <c r="J615" s="187"/>
      <c r="K615" s="187"/>
      <c r="L615" s="187"/>
      <c r="M615" s="187"/>
      <c r="N615" s="187"/>
      <c r="O615" s="187"/>
      <c r="P615" s="187"/>
      <c r="Q615" s="187"/>
      <c r="R615" s="187"/>
      <c r="S615" s="188"/>
    </row>
    <row r="616" spans="2:19" ht="12.75">
      <c r="B616" s="185"/>
      <c r="C616" s="186"/>
      <c r="D616" s="187"/>
      <c r="E616" s="187"/>
      <c r="F616" s="187"/>
      <c r="G616" s="187"/>
      <c r="H616" s="187"/>
      <c r="I616" s="187"/>
      <c r="J616" s="187"/>
      <c r="K616" s="187"/>
      <c r="L616" s="187"/>
      <c r="M616" s="187"/>
      <c r="N616" s="187"/>
      <c r="O616" s="187"/>
      <c r="P616" s="187"/>
      <c r="Q616" s="187"/>
      <c r="R616" s="187"/>
      <c r="S616" s="188"/>
    </row>
    <row r="617" spans="2:19" ht="12.75">
      <c r="B617" s="185"/>
      <c r="C617" s="186"/>
      <c r="D617" s="187"/>
      <c r="E617" s="187"/>
      <c r="F617" s="187"/>
      <c r="G617" s="187"/>
      <c r="H617" s="187"/>
      <c r="I617" s="187"/>
      <c r="J617" s="187"/>
      <c r="K617" s="187"/>
      <c r="L617" s="187"/>
      <c r="M617" s="187"/>
      <c r="N617" s="187"/>
      <c r="O617" s="187"/>
      <c r="P617" s="187"/>
      <c r="Q617" s="187"/>
      <c r="R617" s="187"/>
      <c r="S617" s="188"/>
    </row>
    <row r="618" spans="2:19" ht="12.75">
      <c r="B618" s="185"/>
      <c r="C618" s="186"/>
      <c r="D618" s="187"/>
      <c r="E618" s="187"/>
      <c r="F618" s="187"/>
      <c r="G618" s="187"/>
      <c r="H618" s="187"/>
      <c r="I618" s="187"/>
      <c r="J618" s="187"/>
      <c r="K618" s="187"/>
      <c r="L618" s="187"/>
      <c r="M618" s="187"/>
      <c r="N618" s="187"/>
      <c r="O618" s="187"/>
      <c r="P618" s="187"/>
      <c r="Q618" s="187"/>
      <c r="R618" s="187"/>
      <c r="S618" s="188"/>
    </row>
    <row r="619" spans="2:19" ht="12.75">
      <c r="B619" s="185"/>
      <c r="C619" s="186"/>
      <c r="D619" s="187"/>
      <c r="E619" s="187"/>
      <c r="F619" s="187"/>
      <c r="G619" s="187"/>
      <c r="H619" s="187"/>
      <c r="I619" s="187"/>
      <c r="J619" s="187"/>
      <c r="K619" s="187"/>
      <c r="L619" s="187"/>
      <c r="M619" s="187"/>
      <c r="N619" s="187"/>
      <c r="O619" s="187"/>
      <c r="P619" s="187"/>
      <c r="Q619" s="187"/>
      <c r="R619" s="187"/>
      <c r="S619" s="188"/>
    </row>
    <row r="620" spans="2:19" ht="12.75">
      <c r="B620" s="185"/>
      <c r="C620" s="186"/>
      <c r="D620" s="187"/>
      <c r="E620" s="187"/>
      <c r="F620" s="187"/>
      <c r="G620" s="187"/>
      <c r="H620" s="187"/>
      <c r="I620" s="187"/>
      <c r="J620" s="187"/>
      <c r="K620" s="187"/>
      <c r="L620" s="187"/>
      <c r="M620" s="187"/>
      <c r="N620" s="187"/>
      <c r="O620" s="187"/>
      <c r="P620" s="187"/>
      <c r="Q620" s="187"/>
      <c r="R620" s="187"/>
      <c r="S620" s="188"/>
    </row>
    <row r="621" spans="2:19" ht="12.75">
      <c r="B621" s="185"/>
      <c r="C621" s="186"/>
      <c r="D621" s="187"/>
      <c r="E621" s="187"/>
      <c r="F621" s="187"/>
      <c r="G621" s="187"/>
      <c r="H621" s="187"/>
      <c r="I621" s="187"/>
      <c r="J621" s="187"/>
      <c r="K621" s="187"/>
      <c r="L621" s="187"/>
      <c r="M621" s="187"/>
      <c r="N621" s="187"/>
      <c r="O621" s="187"/>
      <c r="P621" s="187"/>
      <c r="Q621" s="187"/>
      <c r="R621" s="187"/>
      <c r="S621" s="188"/>
    </row>
    <row r="622" spans="2:19" ht="12.75">
      <c r="B622" s="185"/>
      <c r="C622" s="186"/>
      <c r="D622" s="187"/>
      <c r="E622" s="187"/>
      <c r="F622" s="187"/>
      <c r="G622" s="187"/>
      <c r="H622" s="187"/>
      <c r="I622" s="187"/>
      <c r="J622" s="187"/>
      <c r="K622" s="187"/>
      <c r="L622" s="187"/>
      <c r="M622" s="187"/>
      <c r="N622" s="187"/>
      <c r="O622" s="187"/>
      <c r="P622" s="187"/>
      <c r="Q622" s="187"/>
      <c r="R622" s="187"/>
      <c r="S622" s="188"/>
    </row>
    <row r="623" spans="2:19" ht="12.75">
      <c r="B623" s="185"/>
      <c r="C623" s="186"/>
      <c r="D623" s="187"/>
      <c r="E623" s="187"/>
      <c r="F623" s="187"/>
      <c r="G623" s="187"/>
      <c r="H623" s="187"/>
      <c r="I623" s="187"/>
      <c r="J623" s="187"/>
      <c r="K623" s="187"/>
      <c r="L623" s="187"/>
      <c r="M623" s="187"/>
      <c r="N623" s="187"/>
      <c r="O623" s="187"/>
      <c r="P623" s="187"/>
      <c r="Q623" s="187"/>
      <c r="R623" s="187"/>
      <c r="S623" s="188"/>
    </row>
    <row r="624" spans="2:19" ht="12.75">
      <c r="B624" s="185"/>
      <c r="C624" s="186"/>
      <c r="D624" s="187"/>
      <c r="E624" s="187"/>
      <c r="F624" s="187"/>
      <c r="G624" s="187"/>
      <c r="H624" s="187"/>
      <c r="I624" s="187"/>
      <c r="J624" s="187"/>
      <c r="K624" s="187"/>
      <c r="L624" s="187"/>
      <c r="M624" s="187"/>
      <c r="N624" s="187"/>
      <c r="O624" s="187"/>
      <c r="P624" s="187"/>
      <c r="Q624" s="187"/>
      <c r="R624" s="187"/>
      <c r="S624" s="188"/>
    </row>
    <row r="625" spans="2:19" ht="12.75">
      <c r="B625" s="185"/>
      <c r="C625" s="186"/>
      <c r="D625" s="187"/>
      <c r="E625" s="187"/>
      <c r="F625" s="187"/>
      <c r="G625" s="187"/>
      <c r="H625" s="187"/>
      <c r="I625" s="187"/>
      <c r="J625" s="187"/>
      <c r="K625" s="187"/>
      <c r="L625" s="187"/>
      <c r="M625" s="187"/>
      <c r="N625" s="187"/>
      <c r="O625" s="187"/>
      <c r="P625" s="187"/>
      <c r="Q625" s="187"/>
      <c r="R625" s="187"/>
      <c r="S625" s="188"/>
    </row>
    <row r="626" spans="2:19" ht="12.75">
      <c r="B626" s="185"/>
      <c r="C626" s="186"/>
      <c r="D626" s="187"/>
      <c r="E626" s="187"/>
      <c r="F626" s="187"/>
      <c r="G626" s="187"/>
      <c r="H626" s="187"/>
      <c r="I626" s="187"/>
      <c r="J626" s="187"/>
      <c r="K626" s="187"/>
      <c r="L626" s="187"/>
      <c r="M626" s="187"/>
      <c r="N626" s="187"/>
      <c r="O626" s="187"/>
      <c r="P626" s="187"/>
      <c r="Q626" s="187"/>
      <c r="R626" s="187"/>
      <c r="S626" s="188"/>
    </row>
    <row r="627" spans="2:19" ht="12.75">
      <c r="B627" s="185"/>
      <c r="C627" s="186"/>
      <c r="D627" s="187"/>
      <c r="E627" s="187"/>
      <c r="F627" s="187"/>
      <c r="G627" s="187"/>
      <c r="H627" s="187"/>
      <c r="I627" s="187"/>
      <c r="J627" s="187"/>
      <c r="K627" s="187"/>
      <c r="L627" s="187"/>
      <c r="M627" s="187"/>
      <c r="N627" s="187"/>
      <c r="O627" s="187"/>
      <c r="P627" s="187"/>
      <c r="Q627" s="187"/>
      <c r="R627" s="187"/>
      <c r="S627" s="188"/>
    </row>
    <row r="628" spans="2:19" ht="12.75">
      <c r="B628" s="185"/>
      <c r="C628" s="186"/>
      <c r="D628" s="187"/>
      <c r="E628" s="187"/>
      <c r="F628" s="187"/>
      <c r="G628" s="187"/>
      <c r="H628" s="187"/>
      <c r="I628" s="187"/>
      <c r="J628" s="187"/>
      <c r="K628" s="187"/>
      <c r="L628" s="187"/>
      <c r="M628" s="187"/>
      <c r="N628" s="187"/>
      <c r="O628" s="187"/>
      <c r="P628" s="187"/>
      <c r="Q628" s="187"/>
      <c r="R628" s="187"/>
      <c r="S628" s="188"/>
    </row>
    <row r="629" spans="2:19" ht="12.75">
      <c r="B629" s="185"/>
      <c r="C629" s="186"/>
      <c r="D629" s="187"/>
      <c r="E629" s="187"/>
      <c r="F629" s="187"/>
      <c r="G629" s="187"/>
      <c r="H629" s="187"/>
      <c r="I629" s="187"/>
      <c r="J629" s="187"/>
      <c r="K629" s="187"/>
      <c r="L629" s="187"/>
      <c r="M629" s="187"/>
      <c r="N629" s="187"/>
      <c r="O629" s="187"/>
      <c r="P629" s="187"/>
      <c r="Q629" s="187"/>
      <c r="R629" s="187"/>
      <c r="S629" s="188"/>
    </row>
    <row r="630" spans="2:19" ht="12.75">
      <c r="B630" s="185"/>
      <c r="C630" s="186"/>
      <c r="D630" s="187"/>
      <c r="E630" s="187"/>
      <c r="F630" s="187"/>
      <c r="G630" s="187"/>
      <c r="H630" s="187"/>
      <c r="I630" s="187"/>
      <c r="J630" s="187"/>
      <c r="K630" s="187"/>
      <c r="L630" s="187"/>
      <c r="M630" s="187"/>
      <c r="N630" s="187"/>
      <c r="O630" s="187"/>
      <c r="P630" s="187"/>
      <c r="Q630" s="187"/>
      <c r="R630" s="187"/>
      <c r="S630" s="188"/>
    </row>
    <row r="631" spans="2:19" ht="12.75">
      <c r="B631" s="185"/>
      <c r="C631" s="186"/>
      <c r="D631" s="187"/>
      <c r="E631" s="187"/>
      <c r="F631" s="187"/>
      <c r="G631" s="187"/>
      <c r="H631" s="187"/>
      <c r="I631" s="187"/>
      <c r="J631" s="187"/>
      <c r="K631" s="187"/>
      <c r="L631" s="187"/>
      <c r="M631" s="187"/>
      <c r="N631" s="187"/>
      <c r="O631" s="187"/>
      <c r="P631" s="187"/>
      <c r="Q631" s="187"/>
      <c r="R631" s="187"/>
      <c r="S631" s="188"/>
    </row>
    <row r="632" spans="2:19" ht="12.75">
      <c r="B632" s="185"/>
      <c r="C632" s="186"/>
      <c r="D632" s="187"/>
      <c r="E632" s="187"/>
      <c r="F632" s="187"/>
      <c r="G632" s="187"/>
      <c r="H632" s="187"/>
      <c r="I632" s="187"/>
      <c r="J632" s="187"/>
      <c r="K632" s="187"/>
      <c r="L632" s="187"/>
      <c r="M632" s="187"/>
      <c r="N632" s="187"/>
      <c r="O632" s="187"/>
      <c r="P632" s="187"/>
      <c r="Q632" s="187"/>
      <c r="R632" s="187"/>
      <c r="S632" s="188"/>
    </row>
    <row r="633" spans="2:19" ht="12.75">
      <c r="B633" s="185"/>
      <c r="C633" s="186"/>
      <c r="D633" s="187"/>
      <c r="E633" s="187"/>
      <c r="F633" s="187"/>
      <c r="G633" s="187"/>
      <c r="H633" s="187"/>
      <c r="I633" s="187"/>
      <c r="J633" s="187"/>
      <c r="K633" s="187"/>
      <c r="L633" s="187"/>
      <c r="M633" s="187"/>
      <c r="N633" s="187"/>
      <c r="O633" s="187"/>
      <c r="P633" s="187"/>
      <c r="Q633" s="187"/>
      <c r="R633" s="187"/>
      <c r="S633" s="188"/>
    </row>
    <row r="634" spans="2:19" ht="12.75">
      <c r="B634" s="185"/>
      <c r="C634" s="186"/>
      <c r="D634" s="187"/>
      <c r="E634" s="187"/>
      <c r="F634" s="187"/>
      <c r="G634" s="187"/>
      <c r="H634" s="187"/>
      <c r="I634" s="187"/>
      <c r="J634" s="187"/>
      <c r="K634" s="187"/>
      <c r="L634" s="187"/>
      <c r="M634" s="187"/>
      <c r="N634" s="187"/>
      <c r="O634" s="187"/>
      <c r="P634" s="187"/>
      <c r="Q634" s="187"/>
      <c r="R634" s="187"/>
      <c r="S634" s="188"/>
    </row>
    <row r="635" spans="2:19" ht="12.75">
      <c r="B635" s="185"/>
      <c r="C635" s="186"/>
      <c r="D635" s="187"/>
      <c r="E635" s="187"/>
      <c r="F635" s="187"/>
      <c r="G635" s="187"/>
      <c r="H635" s="187"/>
      <c r="I635" s="187"/>
      <c r="J635" s="187"/>
      <c r="K635" s="187"/>
      <c r="L635" s="187"/>
      <c r="M635" s="187"/>
      <c r="N635" s="187"/>
      <c r="O635" s="187"/>
      <c r="P635" s="187"/>
      <c r="Q635" s="187"/>
      <c r="R635" s="187"/>
      <c r="S635" s="188"/>
    </row>
    <row r="636" spans="2:19" ht="12.75">
      <c r="B636" s="185"/>
      <c r="C636" s="186"/>
      <c r="D636" s="187"/>
      <c r="E636" s="187"/>
      <c r="F636" s="187"/>
      <c r="G636" s="187"/>
      <c r="H636" s="187"/>
      <c r="I636" s="187"/>
      <c r="J636" s="187"/>
      <c r="K636" s="187"/>
      <c r="L636" s="187"/>
      <c r="M636" s="187"/>
      <c r="N636" s="187"/>
      <c r="O636" s="187"/>
      <c r="P636" s="187"/>
      <c r="Q636" s="187"/>
      <c r="R636" s="187"/>
      <c r="S636" s="188"/>
    </row>
    <row r="637" spans="2:19" ht="12.75">
      <c r="B637" s="185"/>
      <c r="C637" s="186"/>
      <c r="D637" s="187"/>
      <c r="E637" s="187"/>
      <c r="F637" s="187"/>
      <c r="G637" s="187"/>
      <c r="H637" s="187"/>
      <c r="I637" s="187"/>
      <c r="J637" s="187"/>
      <c r="K637" s="187"/>
      <c r="L637" s="187"/>
      <c r="M637" s="187"/>
      <c r="N637" s="187"/>
      <c r="O637" s="187"/>
      <c r="P637" s="187"/>
      <c r="Q637" s="187"/>
      <c r="R637" s="187"/>
      <c r="S637" s="188"/>
    </row>
    <row r="638" spans="2:19" ht="12.75">
      <c r="B638" s="185"/>
      <c r="C638" s="186"/>
      <c r="D638" s="187"/>
      <c r="E638" s="187"/>
      <c r="F638" s="187"/>
      <c r="G638" s="187"/>
      <c r="H638" s="187"/>
      <c r="I638" s="187"/>
      <c r="J638" s="187"/>
      <c r="K638" s="187"/>
      <c r="L638" s="187"/>
      <c r="M638" s="187"/>
      <c r="N638" s="187"/>
      <c r="O638" s="187"/>
      <c r="P638" s="187"/>
      <c r="Q638" s="187"/>
      <c r="R638" s="187"/>
      <c r="S638" s="188"/>
    </row>
    <row r="639" spans="2:19" ht="12.75">
      <c r="B639" s="185"/>
      <c r="C639" s="186"/>
      <c r="D639" s="187"/>
      <c r="E639" s="187"/>
      <c r="F639" s="187"/>
      <c r="G639" s="187"/>
      <c r="H639" s="187"/>
      <c r="I639" s="187"/>
      <c r="J639" s="187"/>
      <c r="K639" s="187"/>
      <c r="L639" s="187"/>
      <c r="M639" s="187"/>
      <c r="N639" s="187"/>
      <c r="O639" s="187"/>
      <c r="P639" s="187"/>
      <c r="Q639" s="187"/>
      <c r="R639" s="187"/>
      <c r="S639" s="188"/>
    </row>
    <row r="640" spans="2:19" ht="12.75">
      <c r="B640" s="185"/>
      <c r="C640" s="186"/>
      <c r="D640" s="187"/>
      <c r="E640" s="187"/>
      <c r="F640" s="187"/>
      <c r="G640" s="187"/>
      <c r="H640" s="187"/>
      <c r="I640" s="187"/>
      <c r="J640" s="187"/>
      <c r="K640" s="187"/>
      <c r="L640" s="187"/>
      <c r="M640" s="187"/>
      <c r="N640" s="187"/>
      <c r="O640" s="187"/>
      <c r="P640" s="187"/>
      <c r="Q640" s="187"/>
      <c r="R640" s="187"/>
      <c r="S640" s="188"/>
    </row>
    <row r="641" spans="2:19" ht="12.75">
      <c r="B641" s="185"/>
      <c r="C641" s="186"/>
      <c r="D641" s="187"/>
      <c r="E641" s="187"/>
      <c r="F641" s="187"/>
      <c r="G641" s="187"/>
      <c r="H641" s="187"/>
      <c r="I641" s="187"/>
      <c r="J641" s="187"/>
      <c r="K641" s="187"/>
      <c r="L641" s="187"/>
      <c r="M641" s="187"/>
      <c r="N641" s="187"/>
      <c r="O641" s="187"/>
      <c r="P641" s="187"/>
      <c r="Q641" s="187"/>
      <c r="R641" s="187"/>
      <c r="S641" s="188"/>
    </row>
    <row r="642" spans="2:19" ht="12.75">
      <c r="B642" s="185"/>
      <c r="C642" s="186"/>
      <c r="D642" s="187"/>
      <c r="E642" s="187"/>
      <c r="F642" s="187"/>
      <c r="G642" s="187"/>
      <c r="H642" s="187"/>
      <c r="I642" s="187"/>
      <c r="J642" s="187"/>
      <c r="K642" s="187"/>
      <c r="L642" s="187"/>
      <c r="M642" s="187"/>
      <c r="N642" s="187"/>
      <c r="O642" s="187"/>
      <c r="P642" s="187"/>
      <c r="Q642" s="187"/>
      <c r="R642" s="187"/>
      <c r="S642" s="188"/>
    </row>
    <row r="643" spans="2:19" ht="12.75">
      <c r="B643" s="185"/>
      <c r="C643" s="186"/>
      <c r="D643" s="187"/>
      <c r="E643" s="187"/>
      <c r="F643" s="187"/>
      <c r="G643" s="187"/>
      <c r="H643" s="187"/>
      <c r="I643" s="187"/>
      <c r="J643" s="187"/>
      <c r="K643" s="187"/>
      <c r="L643" s="187"/>
      <c r="M643" s="187"/>
      <c r="N643" s="187"/>
      <c r="O643" s="187"/>
      <c r="P643" s="187"/>
      <c r="Q643" s="187"/>
      <c r="R643" s="187"/>
      <c r="S643" s="188"/>
    </row>
    <row r="644" spans="2:19" ht="12.75">
      <c r="B644" s="185"/>
      <c r="C644" s="186"/>
      <c r="D644" s="187"/>
      <c r="E644" s="187"/>
      <c r="F644" s="187"/>
      <c r="G644" s="187"/>
      <c r="H644" s="187"/>
      <c r="I644" s="187"/>
      <c r="J644" s="187"/>
      <c r="K644" s="187"/>
      <c r="L644" s="187"/>
      <c r="M644" s="187"/>
      <c r="N644" s="187"/>
      <c r="O644" s="187"/>
      <c r="P644" s="187"/>
      <c r="Q644" s="187"/>
      <c r="R644" s="187"/>
      <c r="S644" s="188"/>
    </row>
    <row r="645" spans="2:19" ht="12.75">
      <c r="B645" s="185"/>
      <c r="C645" s="186"/>
      <c r="D645" s="187"/>
      <c r="E645" s="187"/>
      <c r="F645" s="187"/>
      <c r="G645" s="187"/>
      <c r="H645" s="187"/>
      <c r="I645" s="187"/>
      <c r="J645" s="187"/>
      <c r="K645" s="187"/>
      <c r="L645" s="187"/>
      <c r="M645" s="187"/>
      <c r="N645" s="187"/>
      <c r="O645" s="187"/>
      <c r="P645" s="187"/>
      <c r="Q645" s="187"/>
      <c r="R645" s="187"/>
      <c r="S645" s="188"/>
    </row>
    <row r="646" spans="2:19" ht="12.75">
      <c r="B646" s="185"/>
      <c r="C646" s="186"/>
      <c r="D646" s="187"/>
      <c r="E646" s="187"/>
      <c r="F646" s="187"/>
      <c r="G646" s="187"/>
      <c r="H646" s="187"/>
      <c r="I646" s="187"/>
      <c r="J646" s="187"/>
      <c r="K646" s="187"/>
      <c r="L646" s="187"/>
      <c r="M646" s="187"/>
      <c r="N646" s="187"/>
      <c r="O646" s="187"/>
      <c r="P646" s="187"/>
      <c r="Q646" s="187"/>
      <c r="R646" s="187"/>
      <c r="S646" s="188"/>
    </row>
    <row r="647" spans="2:19" ht="12.75">
      <c r="B647" s="185"/>
      <c r="C647" s="186"/>
      <c r="D647" s="187"/>
      <c r="E647" s="187"/>
      <c r="F647" s="187"/>
      <c r="G647" s="187"/>
      <c r="H647" s="187"/>
      <c r="I647" s="187"/>
      <c r="J647" s="187"/>
      <c r="K647" s="187"/>
      <c r="L647" s="187"/>
      <c r="M647" s="187"/>
      <c r="N647" s="187"/>
      <c r="O647" s="187"/>
      <c r="P647" s="187"/>
      <c r="Q647" s="187"/>
      <c r="R647" s="187"/>
      <c r="S647" s="188"/>
    </row>
    <row r="648" spans="2:19" ht="12.75">
      <c r="B648" s="185"/>
      <c r="C648" s="186"/>
      <c r="D648" s="187"/>
      <c r="E648" s="187"/>
      <c r="F648" s="187"/>
      <c r="G648" s="187"/>
      <c r="H648" s="187"/>
      <c r="I648" s="187"/>
      <c r="J648" s="187"/>
      <c r="K648" s="187"/>
      <c r="L648" s="187"/>
      <c r="M648" s="187"/>
      <c r="N648" s="187"/>
      <c r="O648" s="187"/>
      <c r="P648" s="187"/>
      <c r="Q648" s="187"/>
      <c r="R648" s="187"/>
      <c r="S648" s="188"/>
    </row>
    <row r="649" spans="2:19" ht="12.75">
      <c r="B649" s="185"/>
      <c r="C649" s="186"/>
      <c r="D649" s="187"/>
      <c r="E649" s="187"/>
      <c r="F649" s="187"/>
      <c r="G649" s="187"/>
      <c r="H649" s="187"/>
      <c r="I649" s="187"/>
      <c r="J649" s="187"/>
      <c r="K649" s="187"/>
      <c r="L649" s="187"/>
      <c r="M649" s="187"/>
      <c r="N649" s="187"/>
      <c r="O649" s="187"/>
      <c r="P649" s="187"/>
      <c r="Q649" s="187"/>
      <c r="R649" s="187"/>
      <c r="S649" s="188"/>
    </row>
    <row r="650" spans="2:19" ht="12.75">
      <c r="B650" s="185"/>
      <c r="C650" s="186"/>
      <c r="D650" s="187"/>
      <c r="E650" s="187"/>
      <c r="F650" s="187"/>
      <c r="G650" s="187"/>
      <c r="H650" s="187"/>
      <c r="I650" s="187"/>
      <c r="J650" s="187"/>
      <c r="K650" s="187"/>
      <c r="L650" s="187"/>
      <c r="M650" s="187"/>
      <c r="N650" s="187"/>
      <c r="O650" s="187"/>
      <c r="P650" s="187"/>
      <c r="Q650" s="187"/>
      <c r="R650" s="187"/>
      <c r="S650" s="188"/>
    </row>
    <row r="651" spans="2:19" ht="12.75">
      <c r="B651" s="185"/>
      <c r="C651" s="186"/>
      <c r="D651" s="187"/>
      <c r="E651" s="187"/>
      <c r="F651" s="187"/>
      <c r="G651" s="187"/>
      <c r="H651" s="187"/>
      <c r="I651" s="187"/>
      <c r="J651" s="187"/>
      <c r="K651" s="187"/>
      <c r="L651" s="187"/>
      <c r="M651" s="187"/>
      <c r="N651" s="187"/>
      <c r="O651" s="187"/>
      <c r="P651" s="187"/>
      <c r="Q651" s="187"/>
      <c r="R651" s="187"/>
      <c r="S651" s="188"/>
    </row>
    <row r="652" spans="2:19" ht="12.75">
      <c r="B652" s="185"/>
      <c r="C652" s="186"/>
      <c r="D652" s="187"/>
      <c r="E652" s="187"/>
      <c r="F652" s="187"/>
      <c r="G652" s="187"/>
      <c r="H652" s="187"/>
      <c r="I652" s="187"/>
      <c r="J652" s="187"/>
      <c r="K652" s="187"/>
      <c r="L652" s="187"/>
      <c r="M652" s="187"/>
      <c r="N652" s="187"/>
      <c r="O652" s="187"/>
      <c r="P652" s="187"/>
      <c r="Q652" s="187"/>
      <c r="R652" s="187"/>
      <c r="S652" s="188"/>
    </row>
    <row r="653" spans="2:19" ht="12.75">
      <c r="B653" s="185"/>
      <c r="C653" s="186"/>
      <c r="D653" s="187"/>
      <c r="E653" s="187"/>
      <c r="F653" s="187"/>
      <c r="G653" s="187"/>
      <c r="H653" s="187"/>
      <c r="I653" s="187"/>
      <c r="J653" s="187"/>
      <c r="K653" s="187"/>
      <c r="L653" s="187"/>
      <c r="M653" s="187"/>
      <c r="N653" s="187"/>
      <c r="O653" s="187"/>
      <c r="P653" s="187"/>
      <c r="Q653" s="187"/>
      <c r="R653" s="187"/>
      <c r="S653" s="188"/>
    </row>
    <row r="654" spans="2:19" ht="12.75">
      <c r="B654" s="185"/>
      <c r="C654" s="186"/>
      <c r="D654" s="187"/>
      <c r="E654" s="187"/>
      <c r="F654" s="187"/>
      <c r="G654" s="187"/>
      <c r="H654" s="187"/>
      <c r="I654" s="187"/>
      <c r="J654" s="187"/>
      <c r="K654" s="187"/>
      <c r="L654" s="187"/>
      <c r="M654" s="187"/>
      <c r="N654" s="187"/>
      <c r="O654" s="187"/>
      <c r="P654" s="187"/>
      <c r="Q654" s="187"/>
      <c r="R654" s="187"/>
      <c r="S654" s="188"/>
    </row>
    <row r="655" spans="2:19" ht="12.75">
      <c r="B655" s="185"/>
      <c r="C655" s="186"/>
      <c r="D655" s="187"/>
      <c r="E655" s="187"/>
      <c r="F655" s="187"/>
      <c r="G655" s="187"/>
      <c r="H655" s="187"/>
      <c r="I655" s="187"/>
      <c r="J655" s="187"/>
      <c r="K655" s="187"/>
      <c r="L655" s="187"/>
      <c r="M655" s="187"/>
      <c r="N655" s="187"/>
      <c r="O655" s="187"/>
      <c r="P655" s="187"/>
      <c r="Q655" s="187"/>
      <c r="R655" s="187"/>
      <c r="S655" s="188"/>
    </row>
    <row r="656" spans="2:19" ht="12.75">
      <c r="B656" s="185"/>
      <c r="C656" s="186"/>
      <c r="D656" s="187"/>
      <c r="E656" s="187"/>
      <c r="F656" s="187"/>
      <c r="G656" s="187"/>
      <c r="H656" s="187"/>
      <c r="I656" s="187"/>
      <c r="J656" s="187"/>
      <c r="K656" s="187"/>
      <c r="L656" s="187"/>
      <c r="M656" s="187"/>
      <c r="N656" s="187"/>
      <c r="O656" s="187"/>
      <c r="P656" s="187"/>
      <c r="Q656" s="187"/>
      <c r="R656" s="187"/>
      <c r="S656" s="188"/>
    </row>
    <row r="657" spans="2:19" ht="12.75">
      <c r="B657" s="185"/>
      <c r="C657" s="186"/>
      <c r="D657" s="187"/>
      <c r="E657" s="187"/>
      <c r="F657" s="187"/>
      <c r="G657" s="187"/>
      <c r="H657" s="187"/>
      <c r="I657" s="187"/>
      <c r="J657" s="187"/>
      <c r="K657" s="187"/>
      <c r="L657" s="187"/>
      <c r="M657" s="187"/>
      <c r="N657" s="187"/>
      <c r="O657" s="187"/>
      <c r="P657" s="187"/>
      <c r="Q657" s="187"/>
      <c r="R657" s="187"/>
      <c r="S657" s="188"/>
    </row>
    <row r="658" spans="2:19" ht="12.75">
      <c r="B658" s="185"/>
      <c r="C658" s="186"/>
      <c r="D658" s="187"/>
      <c r="E658" s="187"/>
      <c r="F658" s="187"/>
      <c r="G658" s="187"/>
      <c r="H658" s="187"/>
      <c r="I658" s="187"/>
      <c r="J658" s="187"/>
      <c r="K658" s="187"/>
      <c r="L658" s="187"/>
      <c r="M658" s="187"/>
      <c r="N658" s="187"/>
      <c r="O658" s="187"/>
      <c r="P658" s="187"/>
      <c r="Q658" s="187"/>
      <c r="R658" s="187"/>
      <c r="S658" s="188"/>
    </row>
    <row r="659" spans="2:19" ht="12.75">
      <c r="B659" s="185"/>
      <c r="C659" s="186"/>
      <c r="D659" s="187"/>
      <c r="E659" s="187"/>
      <c r="F659" s="187"/>
      <c r="G659" s="187"/>
      <c r="H659" s="187"/>
      <c r="I659" s="187"/>
      <c r="J659" s="187"/>
      <c r="K659" s="187"/>
      <c r="L659" s="187"/>
      <c r="M659" s="187"/>
      <c r="N659" s="187"/>
      <c r="O659" s="187"/>
      <c r="P659" s="187"/>
      <c r="Q659" s="187"/>
      <c r="R659" s="187"/>
      <c r="S659" s="188"/>
    </row>
    <row r="660" spans="2:19" ht="12.75">
      <c r="B660" s="185"/>
      <c r="C660" s="186"/>
      <c r="D660" s="187"/>
      <c r="E660" s="187"/>
      <c r="F660" s="187"/>
      <c r="G660" s="187"/>
      <c r="H660" s="187"/>
      <c r="I660" s="187"/>
      <c r="J660" s="187"/>
      <c r="K660" s="187"/>
      <c r="L660" s="187"/>
      <c r="M660" s="187"/>
      <c r="N660" s="187"/>
      <c r="O660" s="187"/>
      <c r="P660" s="187"/>
      <c r="Q660" s="187"/>
      <c r="R660" s="187"/>
      <c r="S660" s="188"/>
    </row>
    <row r="661" spans="2:19" ht="12.75">
      <c r="B661" s="185"/>
      <c r="C661" s="186"/>
      <c r="D661" s="187"/>
      <c r="E661" s="187"/>
      <c r="F661" s="187"/>
      <c r="G661" s="187"/>
      <c r="H661" s="187"/>
      <c r="I661" s="187"/>
      <c r="J661" s="187"/>
      <c r="K661" s="187"/>
      <c r="L661" s="187"/>
      <c r="M661" s="187"/>
      <c r="N661" s="187"/>
      <c r="O661" s="187"/>
      <c r="P661" s="187"/>
      <c r="Q661" s="187"/>
      <c r="R661" s="187"/>
      <c r="S661" s="188"/>
    </row>
    <row r="662" spans="2:19" ht="12.75">
      <c r="B662" s="185"/>
      <c r="C662" s="186"/>
      <c r="D662" s="187"/>
      <c r="E662" s="187"/>
      <c r="F662" s="187"/>
      <c r="G662" s="187"/>
      <c r="H662" s="187"/>
      <c r="I662" s="187"/>
      <c r="J662" s="187"/>
      <c r="K662" s="187"/>
      <c r="L662" s="187"/>
      <c r="M662" s="187"/>
      <c r="N662" s="187"/>
      <c r="O662" s="187"/>
      <c r="P662" s="187"/>
      <c r="Q662" s="187"/>
      <c r="R662" s="187"/>
      <c r="S662" s="188"/>
    </row>
    <row r="663" spans="2:19" ht="12.75">
      <c r="B663" s="185"/>
      <c r="C663" s="186"/>
      <c r="D663" s="187"/>
      <c r="E663" s="187"/>
      <c r="F663" s="187"/>
      <c r="G663" s="187"/>
      <c r="H663" s="187"/>
      <c r="I663" s="187"/>
      <c r="J663" s="187"/>
      <c r="K663" s="187"/>
      <c r="L663" s="187"/>
      <c r="M663" s="187"/>
      <c r="N663" s="187"/>
      <c r="O663" s="187"/>
      <c r="P663" s="187"/>
      <c r="Q663" s="187"/>
      <c r="R663" s="187"/>
      <c r="S663" s="188"/>
    </row>
    <row r="664" spans="2:19" ht="12.75">
      <c r="B664" s="185"/>
      <c r="C664" s="186"/>
      <c r="D664" s="187"/>
      <c r="E664" s="187"/>
      <c r="F664" s="187"/>
      <c r="G664" s="187"/>
      <c r="H664" s="187"/>
      <c r="I664" s="187"/>
      <c r="J664" s="187"/>
      <c r="K664" s="187"/>
      <c r="L664" s="187"/>
      <c r="M664" s="187"/>
      <c r="N664" s="187"/>
      <c r="O664" s="187"/>
      <c r="P664" s="187"/>
      <c r="Q664" s="187"/>
      <c r="R664" s="187"/>
      <c r="S664" s="188"/>
    </row>
    <row r="665" spans="2:19" ht="12.75">
      <c r="B665" s="185"/>
      <c r="C665" s="186"/>
      <c r="D665" s="187"/>
      <c r="E665" s="187"/>
      <c r="F665" s="187"/>
      <c r="G665" s="187"/>
      <c r="H665" s="187"/>
      <c r="I665" s="187"/>
      <c r="J665" s="187"/>
      <c r="K665" s="187"/>
      <c r="L665" s="187"/>
      <c r="M665" s="187"/>
      <c r="N665" s="187"/>
      <c r="O665" s="187"/>
      <c r="P665" s="187"/>
      <c r="Q665" s="187"/>
      <c r="R665" s="187"/>
      <c r="S665" s="188"/>
    </row>
    <row r="666" spans="2:19" ht="12.75">
      <c r="B666" s="185"/>
      <c r="C666" s="186"/>
      <c r="D666" s="187"/>
      <c r="E666" s="187"/>
      <c r="F666" s="187"/>
      <c r="G666" s="187"/>
      <c r="H666" s="187"/>
      <c r="I666" s="187"/>
      <c r="J666" s="187"/>
      <c r="K666" s="187"/>
      <c r="L666" s="187"/>
      <c r="M666" s="187"/>
      <c r="N666" s="187"/>
      <c r="O666" s="187"/>
      <c r="P666" s="187"/>
      <c r="Q666" s="187"/>
      <c r="R666" s="187"/>
      <c r="S666" s="188"/>
    </row>
    <row r="667" spans="2:19" ht="12.75">
      <c r="B667" s="185"/>
      <c r="C667" s="186"/>
      <c r="D667" s="187"/>
      <c r="E667" s="187"/>
      <c r="F667" s="187"/>
      <c r="G667" s="187"/>
      <c r="H667" s="187"/>
      <c r="I667" s="187"/>
      <c r="J667" s="187"/>
      <c r="K667" s="187"/>
      <c r="L667" s="187"/>
      <c r="M667" s="187"/>
      <c r="N667" s="187"/>
      <c r="O667" s="187"/>
      <c r="P667" s="187"/>
      <c r="Q667" s="187"/>
      <c r="R667" s="187"/>
      <c r="S667" s="188"/>
    </row>
    <row r="668" spans="2:19" ht="12.75">
      <c r="B668" s="185"/>
      <c r="C668" s="186"/>
      <c r="D668" s="187"/>
      <c r="E668" s="187"/>
      <c r="F668" s="187"/>
      <c r="G668" s="187"/>
      <c r="H668" s="187"/>
      <c r="I668" s="187"/>
      <c r="J668" s="187"/>
      <c r="K668" s="187"/>
      <c r="L668" s="187"/>
      <c r="M668" s="187"/>
      <c r="N668" s="187"/>
      <c r="O668" s="187"/>
      <c r="P668" s="187"/>
      <c r="Q668" s="187"/>
      <c r="R668" s="187"/>
      <c r="S668" s="188"/>
    </row>
    <row r="669" spans="2:19" ht="12.75">
      <c r="B669" s="185"/>
      <c r="C669" s="186"/>
      <c r="D669" s="187"/>
      <c r="E669" s="187"/>
      <c r="F669" s="187"/>
      <c r="G669" s="187"/>
      <c r="H669" s="187"/>
      <c r="I669" s="187"/>
      <c r="J669" s="187"/>
      <c r="K669" s="187"/>
      <c r="L669" s="187"/>
      <c r="M669" s="187"/>
      <c r="N669" s="187"/>
      <c r="O669" s="187"/>
      <c r="P669" s="187"/>
      <c r="Q669" s="187"/>
      <c r="R669" s="187"/>
      <c r="S669" s="188"/>
    </row>
    <row r="670" spans="2:19" ht="12.75">
      <c r="B670" s="185"/>
      <c r="C670" s="186"/>
      <c r="D670" s="187"/>
      <c r="E670" s="187"/>
      <c r="F670" s="187"/>
      <c r="G670" s="187"/>
      <c r="H670" s="187"/>
      <c r="I670" s="187"/>
      <c r="J670" s="187"/>
      <c r="K670" s="187"/>
      <c r="L670" s="187"/>
      <c r="M670" s="187"/>
      <c r="N670" s="187"/>
      <c r="O670" s="187"/>
      <c r="P670" s="187"/>
      <c r="Q670" s="187"/>
      <c r="R670" s="187"/>
      <c r="S670" s="188"/>
    </row>
    <row r="671" spans="2:19" ht="12.75">
      <c r="B671" s="185"/>
      <c r="C671" s="186"/>
      <c r="D671" s="187"/>
      <c r="E671" s="187"/>
      <c r="F671" s="187"/>
      <c r="G671" s="187"/>
      <c r="H671" s="187"/>
      <c r="I671" s="187"/>
      <c r="J671" s="187"/>
      <c r="K671" s="187"/>
      <c r="L671" s="187"/>
      <c r="M671" s="187"/>
      <c r="N671" s="187"/>
      <c r="O671" s="187"/>
      <c r="P671" s="187"/>
      <c r="Q671" s="187"/>
      <c r="R671" s="187"/>
      <c r="S671" s="188"/>
    </row>
    <row r="672" spans="2:19" ht="12.75">
      <c r="B672" s="185"/>
      <c r="C672" s="186"/>
      <c r="D672" s="187"/>
      <c r="E672" s="187"/>
      <c r="F672" s="187"/>
      <c r="G672" s="187"/>
      <c r="H672" s="187"/>
      <c r="I672" s="187"/>
      <c r="J672" s="187"/>
      <c r="K672" s="187"/>
      <c r="L672" s="187"/>
      <c r="M672" s="187"/>
      <c r="N672" s="187"/>
      <c r="O672" s="187"/>
      <c r="P672" s="187"/>
      <c r="Q672" s="187"/>
      <c r="R672" s="187"/>
      <c r="S672" s="188"/>
    </row>
    <row r="673" spans="2:19" ht="12.75">
      <c r="B673" s="185"/>
      <c r="C673" s="186"/>
      <c r="D673" s="187"/>
      <c r="E673" s="187"/>
      <c r="F673" s="187"/>
      <c r="G673" s="187"/>
      <c r="H673" s="187"/>
      <c r="I673" s="187"/>
      <c r="J673" s="187"/>
      <c r="K673" s="187"/>
      <c r="L673" s="187"/>
      <c r="M673" s="187"/>
      <c r="N673" s="187"/>
      <c r="O673" s="187"/>
      <c r="P673" s="187"/>
      <c r="Q673" s="187"/>
      <c r="R673" s="187"/>
      <c r="S673" s="188"/>
    </row>
    <row r="674" spans="2:19" ht="12.75">
      <c r="B674" s="185"/>
      <c r="C674" s="186"/>
      <c r="D674" s="187"/>
      <c r="E674" s="187"/>
      <c r="F674" s="187"/>
      <c r="G674" s="187"/>
      <c r="H674" s="187"/>
      <c r="I674" s="187"/>
      <c r="J674" s="187"/>
      <c r="K674" s="187"/>
      <c r="L674" s="187"/>
      <c r="M674" s="187"/>
      <c r="N674" s="187"/>
      <c r="O674" s="187"/>
      <c r="P674" s="187"/>
      <c r="Q674" s="187"/>
      <c r="R674" s="187"/>
      <c r="S674" s="188"/>
    </row>
    <row r="675" spans="2:19" ht="12.75">
      <c r="B675" s="185"/>
      <c r="C675" s="186"/>
      <c r="D675" s="187"/>
      <c r="E675" s="187"/>
      <c r="F675" s="187"/>
      <c r="G675" s="187"/>
      <c r="H675" s="187"/>
      <c r="I675" s="187"/>
      <c r="J675" s="187"/>
      <c r="K675" s="187"/>
      <c r="L675" s="187"/>
      <c r="M675" s="187"/>
      <c r="N675" s="187"/>
      <c r="O675" s="187"/>
      <c r="P675" s="187"/>
      <c r="Q675" s="187"/>
      <c r="R675" s="187"/>
      <c r="S675" s="188"/>
    </row>
    <row r="676" spans="2:19" ht="12.75">
      <c r="B676" s="185"/>
      <c r="C676" s="186"/>
      <c r="D676" s="187"/>
      <c r="E676" s="187"/>
      <c r="F676" s="187"/>
      <c r="G676" s="187"/>
      <c r="H676" s="187"/>
      <c r="I676" s="187"/>
      <c r="J676" s="187"/>
      <c r="K676" s="187"/>
      <c r="L676" s="187"/>
      <c r="M676" s="187"/>
      <c r="N676" s="187"/>
      <c r="O676" s="187"/>
      <c r="P676" s="187"/>
      <c r="Q676" s="187"/>
      <c r="R676" s="187"/>
      <c r="S676" s="188"/>
    </row>
    <row r="677" spans="2:19" ht="12.75">
      <c r="B677" s="185"/>
      <c r="C677" s="186"/>
      <c r="D677" s="187"/>
      <c r="E677" s="187"/>
      <c r="F677" s="187"/>
      <c r="G677" s="187"/>
      <c r="H677" s="187"/>
      <c r="I677" s="187"/>
      <c r="J677" s="187"/>
      <c r="K677" s="187"/>
      <c r="L677" s="187"/>
      <c r="M677" s="187"/>
      <c r="N677" s="187"/>
      <c r="O677" s="187"/>
      <c r="P677" s="187"/>
      <c r="Q677" s="187"/>
      <c r="R677" s="187"/>
      <c r="S677" s="188"/>
    </row>
    <row r="678" spans="2:19" ht="12.75">
      <c r="B678" s="185"/>
      <c r="C678" s="186"/>
      <c r="D678" s="187"/>
      <c r="E678" s="187"/>
      <c r="F678" s="187"/>
      <c r="G678" s="187"/>
      <c r="H678" s="187"/>
      <c r="I678" s="187"/>
      <c r="J678" s="187"/>
      <c r="K678" s="187"/>
      <c r="L678" s="187"/>
      <c r="M678" s="187"/>
      <c r="N678" s="187"/>
      <c r="O678" s="187"/>
      <c r="P678" s="187"/>
      <c r="Q678" s="187"/>
      <c r="R678" s="187"/>
      <c r="S678" s="188"/>
    </row>
    <row r="679" spans="2:19" ht="12.75">
      <c r="B679" s="185"/>
      <c r="C679" s="186"/>
      <c r="D679" s="187"/>
      <c r="E679" s="187"/>
      <c r="F679" s="187"/>
      <c r="G679" s="187"/>
      <c r="H679" s="187"/>
      <c r="I679" s="187"/>
      <c r="J679" s="187"/>
      <c r="K679" s="187"/>
      <c r="L679" s="187"/>
      <c r="M679" s="187"/>
      <c r="N679" s="187"/>
      <c r="O679" s="187"/>
      <c r="P679" s="187"/>
      <c r="Q679" s="187"/>
      <c r="R679" s="187"/>
      <c r="S679" s="188"/>
    </row>
    <row r="680" spans="2:19" ht="12.75">
      <c r="B680" s="185"/>
      <c r="C680" s="186"/>
      <c r="D680" s="187"/>
      <c r="E680" s="187"/>
      <c r="F680" s="187"/>
      <c r="G680" s="187"/>
      <c r="H680" s="187"/>
      <c r="I680" s="187"/>
      <c r="J680" s="187"/>
      <c r="K680" s="187"/>
      <c r="L680" s="187"/>
      <c r="M680" s="187"/>
      <c r="N680" s="187"/>
      <c r="O680" s="187"/>
      <c r="P680" s="187"/>
      <c r="Q680" s="187"/>
      <c r="R680" s="187"/>
      <c r="S680" s="188"/>
    </row>
    <row r="681" spans="2:19" ht="12.75">
      <c r="B681" s="185"/>
      <c r="C681" s="186"/>
      <c r="D681" s="187"/>
      <c r="E681" s="187"/>
      <c r="F681" s="187"/>
      <c r="G681" s="187"/>
      <c r="H681" s="187"/>
      <c r="I681" s="187"/>
      <c r="J681" s="187"/>
      <c r="K681" s="187"/>
      <c r="L681" s="187"/>
      <c r="M681" s="187"/>
      <c r="N681" s="187"/>
      <c r="O681" s="187"/>
      <c r="P681" s="187"/>
      <c r="Q681" s="187"/>
      <c r="R681" s="187"/>
      <c r="S681" s="188"/>
    </row>
    <row r="682" spans="2:19" ht="12.75">
      <c r="B682" s="185"/>
      <c r="C682" s="186"/>
      <c r="D682" s="187"/>
      <c r="E682" s="187"/>
      <c r="F682" s="187"/>
      <c r="G682" s="187"/>
      <c r="H682" s="187"/>
      <c r="I682" s="187"/>
      <c r="J682" s="187"/>
      <c r="K682" s="187"/>
      <c r="L682" s="187"/>
      <c r="M682" s="187"/>
      <c r="N682" s="187"/>
      <c r="O682" s="187"/>
      <c r="P682" s="187"/>
      <c r="Q682" s="187"/>
      <c r="R682" s="187"/>
      <c r="S682" s="188"/>
    </row>
    <row r="683" spans="2:19" ht="12.75">
      <c r="B683" s="185"/>
      <c r="C683" s="186"/>
      <c r="D683" s="187"/>
      <c r="E683" s="187"/>
      <c r="F683" s="187"/>
      <c r="G683" s="187"/>
      <c r="H683" s="187"/>
      <c r="I683" s="187"/>
      <c r="J683" s="187"/>
      <c r="K683" s="187"/>
      <c r="L683" s="187"/>
      <c r="M683" s="187"/>
      <c r="N683" s="187"/>
      <c r="O683" s="187"/>
      <c r="P683" s="187"/>
      <c r="Q683" s="187"/>
      <c r="R683" s="187"/>
      <c r="S683" s="188"/>
    </row>
    <row r="684" spans="2:19" ht="12.75">
      <c r="B684" s="185"/>
      <c r="C684" s="186"/>
      <c r="D684" s="187"/>
      <c r="E684" s="187"/>
      <c r="F684" s="187"/>
      <c r="G684" s="187"/>
      <c r="H684" s="187"/>
      <c r="I684" s="187"/>
      <c r="J684" s="187"/>
      <c r="K684" s="187"/>
      <c r="L684" s="187"/>
      <c r="M684" s="187"/>
      <c r="N684" s="187"/>
      <c r="O684" s="187"/>
      <c r="P684" s="187"/>
      <c r="Q684" s="187"/>
      <c r="R684" s="187"/>
      <c r="S684" s="188"/>
    </row>
    <row r="685" spans="2:19" ht="12.75">
      <c r="B685" s="185"/>
      <c r="C685" s="186"/>
      <c r="D685" s="187"/>
      <c r="E685" s="187"/>
      <c r="F685" s="187"/>
      <c r="G685" s="187"/>
      <c r="H685" s="187"/>
      <c r="I685" s="187"/>
      <c r="J685" s="187"/>
      <c r="K685" s="187"/>
      <c r="L685" s="187"/>
      <c r="M685" s="187"/>
      <c r="N685" s="187"/>
      <c r="O685" s="187"/>
      <c r="P685" s="187"/>
      <c r="Q685" s="187"/>
      <c r="R685" s="187"/>
      <c r="S685" s="188"/>
    </row>
    <row r="686" spans="2:19" ht="12.75">
      <c r="B686" s="185"/>
      <c r="C686" s="186"/>
      <c r="D686" s="187"/>
      <c r="E686" s="187"/>
      <c r="F686" s="187"/>
      <c r="G686" s="187"/>
      <c r="H686" s="187"/>
      <c r="I686" s="187"/>
      <c r="J686" s="187"/>
      <c r="K686" s="187"/>
      <c r="L686" s="187"/>
      <c r="M686" s="187"/>
      <c r="N686" s="187"/>
      <c r="O686" s="187"/>
      <c r="P686" s="187"/>
      <c r="Q686" s="187"/>
      <c r="R686" s="187"/>
      <c r="S686" s="188"/>
    </row>
    <row r="687" spans="2:19" ht="12.75">
      <c r="B687" s="185"/>
      <c r="C687" s="186"/>
      <c r="D687" s="187"/>
      <c r="E687" s="187"/>
      <c r="F687" s="187"/>
      <c r="G687" s="187"/>
      <c r="H687" s="187"/>
      <c r="I687" s="187"/>
      <c r="J687" s="187"/>
      <c r="K687" s="187"/>
      <c r="L687" s="187"/>
      <c r="M687" s="187"/>
      <c r="N687" s="187"/>
      <c r="O687" s="187"/>
      <c r="P687" s="187"/>
      <c r="Q687" s="187"/>
      <c r="R687" s="187"/>
      <c r="S687" s="188"/>
    </row>
    <row r="688" spans="2:19" ht="12.75">
      <c r="B688" s="185"/>
      <c r="C688" s="186"/>
      <c r="D688" s="187"/>
      <c r="E688" s="187"/>
      <c r="F688" s="187"/>
      <c r="G688" s="187"/>
      <c r="H688" s="187"/>
      <c r="I688" s="187"/>
      <c r="J688" s="187"/>
      <c r="K688" s="187"/>
      <c r="L688" s="187"/>
      <c r="M688" s="187"/>
      <c r="N688" s="187"/>
      <c r="O688" s="187"/>
      <c r="P688" s="187"/>
      <c r="Q688" s="187"/>
      <c r="R688" s="187"/>
      <c r="S688" s="188"/>
    </row>
    <row r="689" spans="2:19" ht="12.75">
      <c r="B689" s="185"/>
      <c r="C689" s="186"/>
      <c r="D689" s="187"/>
      <c r="E689" s="187"/>
      <c r="F689" s="187"/>
      <c r="G689" s="187"/>
      <c r="H689" s="187"/>
      <c r="I689" s="187"/>
      <c r="J689" s="187"/>
      <c r="K689" s="187"/>
      <c r="L689" s="187"/>
      <c r="M689" s="187"/>
      <c r="N689" s="187"/>
      <c r="O689" s="187"/>
      <c r="P689" s="187"/>
      <c r="Q689" s="187"/>
      <c r="R689" s="187"/>
      <c r="S689" s="188"/>
    </row>
    <row r="690" spans="2:19" ht="12.75">
      <c r="B690" s="185"/>
      <c r="C690" s="186"/>
      <c r="D690" s="187"/>
      <c r="E690" s="187"/>
      <c r="F690" s="187"/>
      <c r="G690" s="187"/>
      <c r="H690" s="187"/>
      <c r="I690" s="187"/>
      <c r="J690" s="187"/>
      <c r="K690" s="187"/>
      <c r="L690" s="187"/>
      <c r="M690" s="187"/>
      <c r="N690" s="187"/>
      <c r="O690" s="187"/>
      <c r="P690" s="187"/>
      <c r="Q690" s="187"/>
      <c r="R690" s="187"/>
      <c r="S690" s="188"/>
    </row>
    <row r="691" spans="2:19" ht="12.75">
      <c r="B691" s="185"/>
      <c r="C691" s="186"/>
      <c r="D691" s="187"/>
      <c r="E691" s="187"/>
      <c r="F691" s="187"/>
      <c r="G691" s="187"/>
      <c r="H691" s="187"/>
      <c r="I691" s="187"/>
      <c r="J691" s="187"/>
      <c r="K691" s="187"/>
      <c r="L691" s="187"/>
      <c r="M691" s="187"/>
      <c r="N691" s="187"/>
      <c r="O691" s="187"/>
      <c r="P691" s="187"/>
      <c r="Q691" s="187"/>
      <c r="R691" s="187"/>
      <c r="S691" s="188"/>
    </row>
    <row r="692" spans="2:19" ht="12.75">
      <c r="B692" s="185"/>
      <c r="C692" s="186"/>
      <c r="D692" s="187"/>
      <c r="E692" s="187"/>
      <c r="F692" s="187"/>
      <c r="G692" s="187"/>
      <c r="H692" s="187"/>
      <c r="I692" s="187"/>
      <c r="J692" s="187"/>
      <c r="K692" s="187"/>
      <c r="L692" s="187"/>
      <c r="M692" s="187"/>
      <c r="N692" s="187"/>
      <c r="O692" s="187"/>
      <c r="P692" s="187"/>
      <c r="Q692" s="187"/>
      <c r="R692" s="187"/>
      <c r="S692" s="188"/>
    </row>
    <row r="693" spans="2:19" ht="12.75">
      <c r="B693" s="185"/>
      <c r="C693" s="186"/>
      <c r="D693" s="187"/>
      <c r="E693" s="187"/>
      <c r="F693" s="187"/>
      <c r="G693" s="187"/>
      <c r="H693" s="187"/>
      <c r="I693" s="187"/>
      <c r="J693" s="187"/>
      <c r="K693" s="187"/>
      <c r="L693" s="187"/>
      <c r="M693" s="187"/>
      <c r="N693" s="187"/>
      <c r="O693" s="187"/>
      <c r="P693" s="187"/>
      <c r="Q693" s="187"/>
      <c r="R693" s="187"/>
      <c r="S693" s="188"/>
    </row>
    <row r="694" spans="2:19" ht="12.75">
      <c r="B694" s="185"/>
      <c r="C694" s="186"/>
      <c r="D694" s="187"/>
      <c r="E694" s="187"/>
      <c r="F694" s="187"/>
      <c r="G694" s="187"/>
      <c r="H694" s="187"/>
      <c r="I694" s="187"/>
      <c r="J694" s="187"/>
      <c r="K694" s="187"/>
      <c r="L694" s="187"/>
      <c r="M694" s="187"/>
      <c r="N694" s="187"/>
      <c r="O694" s="187"/>
      <c r="P694" s="187"/>
      <c r="Q694" s="187"/>
      <c r="R694" s="187"/>
      <c r="S694" s="188"/>
    </row>
    <row r="695" spans="2:19" ht="12.75">
      <c r="B695" s="185"/>
      <c r="C695" s="186"/>
      <c r="D695" s="187"/>
      <c r="E695" s="187"/>
      <c r="F695" s="187"/>
      <c r="G695" s="187"/>
      <c r="H695" s="187"/>
      <c r="I695" s="187"/>
      <c r="J695" s="187"/>
      <c r="K695" s="187"/>
      <c r="L695" s="187"/>
      <c r="M695" s="187"/>
      <c r="N695" s="187"/>
      <c r="O695" s="187"/>
      <c r="P695" s="187"/>
      <c r="Q695" s="187"/>
      <c r="R695" s="187"/>
      <c r="S695" s="188"/>
    </row>
    <row r="696" spans="2:19" ht="12.75">
      <c r="B696" s="185"/>
      <c r="C696" s="186"/>
      <c r="D696" s="187"/>
      <c r="E696" s="187"/>
      <c r="F696" s="187"/>
      <c r="G696" s="187"/>
      <c r="H696" s="187"/>
      <c r="I696" s="187"/>
      <c r="J696" s="187"/>
      <c r="K696" s="187"/>
      <c r="L696" s="187"/>
      <c r="M696" s="187"/>
      <c r="N696" s="187"/>
      <c r="O696" s="187"/>
      <c r="P696" s="187"/>
      <c r="Q696" s="187"/>
      <c r="R696" s="187"/>
      <c r="S696" s="188"/>
    </row>
    <row r="697" spans="2:19" ht="12.75">
      <c r="B697" s="185"/>
      <c r="C697" s="186"/>
      <c r="D697" s="187"/>
      <c r="E697" s="187"/>
      <c r="F697" s="187"/>
      <c r="G697" s="187"/>
      <c r="H697" s="187"/>
      <c r="I697" s="187"/>
      <c r="J697" s="187"/>
      <c r="K697" s="187"/>
      <c r="L697" s="187"/>
      <c r="M697" s="187"/>
      <c r="N697" s="187"/>
      <c r="O697" s="187"/>
      <c r="P697" s="187"/>
      <c r="Q697" s="187"/>
      <c r="R697" s="187"/>
      <c r="S697" s="188"/>
    </row>
    <row r="698" spans="2:19" ht="12.75">
      <c r="B698" s="185"/>
      <c r="C698" s="186"/>
      <c r="D698" s="187"/>
      <c r="E698" s="187"/>
      <c r="F698" s="187"/>
      <c r="G698" s="187"/>
      <c r="H698" s="187"/>
      <c r="I698" s="187"/>
      <c r="J698" s="187"/>
      <c r="K698" s="187"/>
      <c r="L698" s="187"/>
      <c r="M698" s="187"/>
      <c r="N698" s="187"/>
      <c r="O698" s="187"/>
      <c r="P698" s="187"/>
      <c r="Q698" s="187"/>
      <c r="R698" s="187"/>
      <c r="S698" s="188"/>
    </row>
    <row r="699" spans="2:19" ht="12.75">
      <c r="B699" s="185"/>
      <c r="C699" s="186"/>
      <c r="D699" s="187"/>
      <c r="E699" s="187"/>
      <c r="F699" s="187"/>
      <c r="G699" s="187"/>
      <c r="H699" s="187"/>
      <c r="I699" s="187"/>
      <c r="J699" s="187"/>
      <c r="K699" s="187"/>
      <c r="L699" s="187"/>
      <c r="M699" s="187"/>
      <c r="N699" s="187"/>
      <c r="O699" s="187"/>
      <c r="P699" s="187"/>
      <c r="Q699" s="187"/>
      <c r="R699" s="187"/>
      <c r="S699" s="188"/>
    </row>
    <row r="700" spans="2:19" ht="12.75">
      <c r="B700" s="185"/>
      <c r="C700" s="186"/>
      <c r="D700" s="187"/>
      <c r="E700" s="187"/>
      <c r="F700" s="187"/>
      <c r="G700" s="187"/>
      <c r="H700" s="187"/>
      <c r="I700" s="187"/>
      <c r="J700" s="187"/>
      <c r="K700" s="187"/>
      <c r="L700" s="187"/>
      <c r="M700" s="187"/>
      <c r="N700" s="187"/>
      <c r="O700" s="187"/>
      <c r="P700" s="187"/>
      <c r="Q700" s="187"/>
      <c r="R700" s="187"/>
      <c r="S700" s="188"/>
    </row>
    <row r="701" spans="2:19" ht="12.75">
      <c r="B701" s="185"/>
      <c r="C701" s="186"/>
      <c r="D701" s="187"/>
      <c r="E701" s="187"/>
      <c r="F701" s="187"/>
      <c r="G701" s="187"/>
      <c r="H701" s="187"/>
      <c r="I701" s="187"/>
      <c r="J701" s="187"/>
      <c r="K701" s="187"/>
      <c r="L701" s="187"/>
      <c r="M701" s="187"/>
      <c r="N701" s="187"/>
      <c r="O701" s="187"/>
      <c r="P701" s="187"/>
      <c r="Q701" s="187"/>
      <c r="R701" s="187"/>
      <c r="S701" s="188"/>
    </row>
    <row r="702" spans="2:19" ht="12.75">
      <c r="B702" s="185"/>
      <c r="C702" s="186"/>
      <c r="D702" s="187"/>
      <c r="E702" s="187"/>
      <c r="F702" s="187"/>
      <c r="G702" s="187"/>
      <c r="H702" s="187"/>
      <c r="I702" s="187"/>
      <c r="J702" s="187"/>
      <c r="K702" s="187"/>
      <c r="L702" s="187"/>
      <c r="M702" s="187"/>
      <c r="N702" s="187"/>
      <c r="O702" s="187"/>
      <c r="P702" s="187"/>
      <c r="Q702" s="187"/>
      <c r="R702" s="187"/>
      <c r="S702" s="188"/>
    </row>
    <row r="703" spans="2:19" ht="12.75">
      <c r="B703" s="185"/>
      <c r="C703" s="186"/>
      <c r="D703" s="187"/>
      <c r="E703" s="187"/>
      <c r="F703" s="187"/>
      <c r="G703" s="187"/>
      <c r="H703" s="187"/>
      <c r="I703" s="187"/>
      <c r="J703" s="187"/>
      <c r="K703" s="187"/>
      <c r="L703" s="187"/>
      <c r="M703" s="187"/>
      <c r="N703" s="187"/>
      <c r="O703" s="187"/>
      <c r="P703" s="187"/>
      <c r="Q703" s="187"/>
      <c r="R703" s="187"/>
      <c r="S703" s="188"/>
    </row>
    <row r="704" spans="2:19" ht="12.75">
      <c r="B704" s="185"/>
      <c r="C704" s="186"/>
      <c r="D704" s="187"/>
      <c r="E704" s="187"/>
      <c r="F704" s="187"/>
      <c r="G704" s="187"/>
      <c r="H704" s="187"/>
      <c r="I704" s="187"/>
      <c r="J704" s="187"/>
      <c r="K704" s="187"/>
      <c r="L704" s="187"/>
      <c r="M704" s="187"/>
      <c r="N704" s="187"/>
      <c r="O704" s="187"/>
      <c r="P704" s="187"/>
      <c r="Q704" s="187"/>
      <c r="R704" s="187"/>
      <c r="S704" s="188"/>
    </row>
    <row r="705" spans="2:19" ht="12.75">
      <c r="B705" s="185"/>
      <c r="C705" s="186"/>
      <c r="D705" s="187"/>
      <c r="E705" s="187"/>
      <c r="F705" s="187"/>
      <c r="G705" s="187"/>
      <c r="H705" s="187"/>
      <c r="I705" s="187"/>
      <c r="J705" s="187"/>
      <c r="K705" s="187"/>
      <c r="L705" s="187"/>
      <c r="M705" s="187"/>
      <c r="N705" s="187"/>
      <c r="O705" s="187"/>
      <c r="P705" s="187"/>
      <c r="Q705" s="187"/>
      <c r="R705" s="187"/>
      <c r="S705" s="188"/>
    </row>
    <row r="706" spans="2:19" ht="12.75">
      <c r="B706" s="185"/>
      <c r="C706" s="186"/>
      <c r="D706" s="187"/>
      <c r="E706" s="187"/>
      <c r="F706" s="187"/>
      <c r="G706" s="187"/>
      <c r="H706" s="187"/>
      <c r="I706" s="187"/>
      <c r="J706" s="187"/>
      <c r="K706" s="187"/>
      <c r="L706" s="187"/>
      <c r="M706" s="187"/>
      <c r="N706" s="187"/>
      <c r="O706" s="187"/>
      <c r="P706" s="187"/>
      <c r="Q706" s="187"/>
      <c r="R706" s="187"/>
      <c r="S706" s="188"/>
    </row>
    <row r="707" spans="2:19" ht="12.75">
      <c r="B707" s="185"/>
      <c r="C707" s="186"/>
      <c r="D707" s="187"/>
      <c r="E707" s="187"/>
      <c r="F707" s="187"/>
      <c r="G707" s="187"/>
      <c r="H707" s="187"/>
      <c r="I707" s="187"/>
      <c r="J707" s="187"/>
      <c r="K707" s="187"/>
      <c r="L707" s="187"/>
      <c r="M707" s="187"/>
      <c r="N707" s="187"/>
      <c r="O707" s="187"/>
      <c r="P707" s="187"/>
      <c r="Q707" s="187"/>
      <c r="R707" s="187"/>
      <c r="S707" s="188"/>
    </row>
    <row r="708" spans="2:19" ht="12.75">
      <c r="B708" s="185"/>
      <c r="C708" s="186"/>
      <c r="D708" s="187"/>
      <c r="E708" s="187"/>
      <c r="F708" s="187"/>
      <c r="G708" s="187"/>
      <c r="H708" s="187"/>
      <c r="I708" s="187"/>
      <c r="J708" s="187"/>
      <c r="K708" s="187"/>
      <c r="L708" s="187"/>
      <c r="M708" s="187"/>
      <c r="N708" s="187"/>
      <c r="O708" s="187"/>
      <c r="P708" s="187"/>
      <c r="Q708" s="187"/>
      <c r="R708" s="187"/>
      <c r="S708" s="188"/>
    </row>
    <row r="709" spans="2:19" ht="12.75">
      <c r="B709" s="185"/>
      <c r="C709" s="186"/>
      <c r="D709" s="187"/>
      <c r="E709" s="187"/>
      <c r="F709" s="187"/>
      <c r="G709" s="187"/>
      <c r="H709" s="187"/>
      <c r="I709" s="187"/>
      <c r="J709" s="187"/>
      <c r="K709" s="187"/>
      <c r="L709" s="187"/>
      <c r="M709" s="187"/>
      <c r="N709" s="187"/>
      <c r="O709" s="187"/>
      <c r="P709" s="187"/>
      <c r="Q709" s="187"/>
      <c r="R709" s="187"/>
      <c r="S709" s="188"/>
    </row>
    <row r="710" spans="2:19" ht="12.75">
      <c r="B710" s="185"/>
      <c r="C710" s="186"/>
      <c r="D710" s="187"/>
      <c r="E710" s="187"/>
      <c r="F710" s="187"/>
      <c r="G710" s="187"/>
      <c r="H710" s="187"/>
      <c r="I710" s="187"/>
      <c r="J710" s="187"/>
      <c r="K710" s="187"/>
      <c r="L710" s="187"/>
      <c r="M710" s="187"/>
      <c r="N710" s="187"/>
      <c r="O710" s="187"/>
      <c r="P710" s="187"/>
      <c r="Q710" s="187"/>
      <c r="R710" s="187"/>
      <c r="S710" s="188"/>
    </row>
    <row r="711" spans="2:19" ht="12.75">
      <c r="B711" s="185"/>
      <c r="C711" s="186"/>
      <c r="D711" s="187"/>
      <c r="E711" s="187"/>
      <c r="F711" s="187"/>
      <c r="G711" s="187"/>
      <c r="H711" s="187"/>
      <c r="I711" s="187"/>
      <c r="J711" s="187"/>
      <c r="K711" s="187"/>
      <c r="L711" s="187"/>
      <c r="M711" s="187"/>
      <c r="N711" s="187"/>
      <c r="O711" s="187"/>
      <c r="P711" s="187"/>
      <c r="Q711" s="187"/>
      <c r="R711" s="187"/>
      <c r="S711" s="188"/>
    </row>
    <row r="712" spans="2:19" ht="12.75">
      <c r="B712" s="185"/>
      <c r="C712" s="186"/>
      <c r="D712" s="187"/>
      <c r="E712" s="187"/>
      <c r="F712" s="187"/>
      <c r="G712" s="187"/>
      <c r="H712" s="187"/>
      <c r="I712" s="187"/>
      <c r="J712" s="187"/>
      <c r="K712" s="187"/>
      <c r="L712" s="187"/>
      <c r="M712" s="187"/>
      <c r="N712" s="187"/>
      <c r="O712" s="187"/>
      <c r="P712" s="187"/>
      <c r="Q712" s="187"/>
      <c r="R712" s="187"/>
      <c r="S712" s="188"/>
    </row>
    <row r="713" spans="2:19" ht="12.75">
      <c r="B713" s="185"/>
      <c r="C713" s="186"/>
      <c r="D713" s="187"/>
      <c r="E713" s="187"/>
      <c r="F713" s="187"/>
      <c r="G713" s="187"/>
      <c r="H713" s="187"/>
      <c r="I713" s="187"/>
      <c r="J713" s="187"/>
      <c r="K713" s="187"/>
      <c r="L713" s="187"/>
      <c r="M713" s="187"/>
      <c r="N713" s="187"/>
      <c r="O713" s="187"/>
      <c r="P713" s="187"/>
      <c r="Q713" s="187"/>
      <c r="R713" s="187"/>
      <c r="S713" s="188"/>
    </row>
    <row r="714" spans="2:19" ht="12.75">
      <c r="B714" s="185"/>
      <c r="C714" s="186"/>
      <c r="D714" s="187"/>
      <c r="E714" s="187"/>
      <c r="F714" s="187"/>
      <c r="G714" s="187"/>
      <c r="H714" s="187"/>
      <c r="I714" s="187"/>
      <c r="J714" s="187"/>
      <c r="K714" s="187"/>
      <c r="L714" s="187"/>
      <c r="M714" s="187"/>
      <c r="N714" s="187"/>
      <c r="O714" s="187"/>
      <c r="P714" s="187"/>
      <c r="Q714" s="187"/>
      <c r="R714" s="187"/>
      <c r="S714" s="188"/>
    </row>
    <row r="715" spans="2:19" ht="12.75">
      <c r="B715" s="185"/>
      <c r="C715" s="186"/>
      <c r="D715" s="187"/>
      <c r="E715" s="187"/>
      <c r="F715" s="187"/>
      <c r="G715" s="187"/>
      <c r="H715" s="187"/>
      <c r="I715" s="187"/>
      <c r="J715" s="187"/>
      <c r="K715" s="187"/>
      <c r="L715" s="187"/>
      <c r="M715" s="187"/>
      <c r="N715" s="187"/>
      <c r="O715" s="187"/>
      <c r="P715" s="187"/>
      <c r="Q715" s="187"/>
      <c r="R715" s="187"/>
      <c r="S715" s="188"/>
    </row>
    <row r="716" spans="2:19" ht="12.75">
      <c r="B716" s="185"/>
      <c r="C716" s="186"/>
      <c r="D716" s="187"/>
      <c r="E716" s="187"/>
      <c r="F716" s="187"/>
      <c r="G716" s="187"/>
      <c r="H716" s="187"/>
      <c r="I716" s="187"/>
      <c r="J716" s="187"/>
      <c r="K716" s="187"/>
      <c r="L716" s="187"/>
      <c r="M716" s="187"/>
      <c r="N716" s="187"/>
      <c r="O716" s="187"/>
      <c r="P716" s="187"/>
      <c r="Q716" s="187"/>
      <c r="R716" s="187"/>
      <c r="S716" s="188"/>
    </row>
    <row r="717" spans="2:19" ht="12.75">
      <c r="B717" s="185"/>
      <c r="C717" s="186"/>
      <c r="D717" s="187"/>
      <c r="E717" s="187"/>
      <c r="F717" s="187"/>
      <c r="G717" s="187"/>
      <c r="H717" s="187"/>
      <c r="I717" s="187"/>
      <c r="J717" s="187"/>
      <c r="K717" s="187"/>
      <c r="L717" s="187"/>
      <c r="M717" s="187"/>
      <c r="N717" s="187"/>
      <c r="O717" s="187"/>
      <c r="P717" s="187"/>
      <c r="Q717" s="187"/>
      <c r="R717" s="187"/>
      <c r="S717" s="188"/>
    </row>
    <row r="718" spans="2:19" ht="12.75">
      <c r="B718" s="185"/>
      <c r="C718" s="186"/>
      <c r="D718" s="187"/>
      <c r="E718" s="187"/>
      <c r="F718" s="187"/>
      <c r="G718" s="187"/>
      <c r="H718" s="187"/>
      <c r="I718" s="187"/>
      <c r="J718" s="187"/>
      <c r="K718" s="187"/>
      <c r="L718" s="187"/>
      <c r="M718" s="187"/>
      <c r="N718" s="187"/>
      <c r="O718" s="187"/>
      <c r="P718" s="187"/>
      <c r="Q718" s="187"/>
      <c r="R718" s="187"/>
      <c r="S718" s="188"/>
    </row>
    <row r="719" spans="2:19" ht="12.75">
      <c r="B719" s="185"/>
      <c r="C719" s="186"/>
      <c r="D719" s="187"/>
      <c r="E719" s="187"/>
      <c r="F719" s="187"/>
      <c r="G719" s="187"/>
      <c r="H719" s="187"/>
      <c r="I719" s="187"/>
      <c r="J719" s="187"/>
      <c r="K719" s="187"/>
      <c r="L719" s="187"/>
      <c r="M719" s="187"/>
      <c r="N719" s="187"/>
      <c r="O719" s="187"/>
      <c r="P719" s="187"/>
      <c r="Q719" s="187"/>
      <c r="R719" s="187"/>
      <c r="S719" s="188"/>
    </row>
    <row r="720" spans="2:19" ht="12.75">
      <c r="B720" s="185"/>
      <c r="C720" s="186"/>
      <c r="D720" s="187"/>
      <c r="E720" s="187"/>
      <c r="F720" s="187"/>
      <c r="G720" s="187"/>
      <c r="H720" s="187"/>
      <c r="I720" s="187"/>
      <c r="J720" s="187"/>
      <c r="K720" s="187"/>
      <c r="L720" s="187"/>
      <c r="M720" s="187"/>
      <c r="N720" s="187"/>
      <c r="O720" s="187"/>
      <c r="P720" s="187"/>
      <c r="Q720" s="187"/>
      <c r="R720" s="187"/>
      <c r="S720" s="188"/>
    </row>
    <row r="721" spans="2:19" ht="12.75">
      <c r="B721" s="185"/>
      <c r="C721" s="186"/>
      <c r="D721" s="187"/>
      <c r="E721" s="187"/>
      <c r="F721" s="187"/>
      <c r="G721" s="187"/>
      <c r="H721" s="187"/>
      <c r="I721" s="187"/>
      <c r="J721" s="187"/>
      <c r="K721" s="187"/>
      <c r="L721" s="187"/>
      <c r="M721" s="187"/>
      <c r="N721" s="187"/>
      <c r="O721" s="187"/>
      <c r="P721" s="187"/>
      <c r="Q721" s="187"/>
      <c r="R721" s="187"/>
      <c r="S721" s="188"/>
    </row>
    <row r="722" spans="2:19" ht="12.75">
      <c r="B722" s="185"/>
      <c r="C722" s="186"/>
      <c r="D722" s="187"/>
      <c r="E722" s="187"/>
      <c r="F722" s="187"/>
      <c r="G722" s="187"/>
      <c r="H722" s="187"/>
      <c r="I722" s="187"/>
      <c r="J722" s="187"/>
      <c r="K722" s="187"/>
      <c r="L722" s="187"/>
      <c r="M722" s="187"/>
      <c r="N722" s="187"/>
      <c r="O722" s="187"/>
      <c r="P722" s="187"/>
      <c r="Q722" s="187"/>
      <c r="R722" s="187"/>
      <c r="S722" s="188"/>
    </row>
    <row r="723" spans="2:19" ht="12.75">
      <c r="B723" s="185"/>
      <c r="C723" s="186"/>
      <c r="D723" s="187"/>
      <c r="E723" s="187"/>
      <c r="F723" s="187"/>
      <c r="G723" s="187"/>
      <c r="H723" s="187"/>
      <c r="I723" s="187"/>
      <c r="J723" s="187"/>
      <c r="K723" s="187"/>
      <c r="L723" s="187"/>
      <c r="M723" s="187"/>
      <c r="N723" s="187"/>
      <c r="O723" s="187"/>
      <c r="P723" s="187"/>
      <c r="Q723" s="187"/>
      <c r="R723" s="187"/>
      <c r="S723" s="188"/>
    </row>
    <row r="724" spans="2:19" ht="12.75">
      <c r="B724" s="185"/>
      <c r="C724" s="186"/>
      <c r="D724" s="187"/>
      <c r="E724" s="187"/>
      <c r="F724" s="187"/>
      <c r="G724" s="187"/>
      <c r="H724" s="187"/>
      <c r="I724" s="187"/>
      <c r="J724" s="187"/>
      <c r="K724" s="187"/>
      <c r="L724" s="187"/>
      <c r="M724" s="187"/>
      <c r="N724" s="187"/>
      <c r="O724" s="187"/>
      <c r="P724" s="187"/>
      <c r="Q724" s="187"/>
      <c r="R724" s="187"/>
      <c r="S724" s="188"/>
    </row>
    <row r="725" spans="2:19" ht="12.75">
      <c r="B725" s="185"/>
      <c r="C725" s="186"/>
      <c r="D725" s="187"/>
      <c r="E725" s="187"/>
      <c r="F725" s="187"/>
      <c r="G725" s="187"/>
      <c r="H725" s="187"/>
      <c r="I725" s="187"/>
      <c r="J725" s="187"/>
      <c r="K725" s="187"/>
      <c r="L725" s="187"/>
      <c r="M725" s="187"/>
      <c r="N725" s="187"/>
      <c r="O725" s="187"/>
      <c r="P725" s="187"/>
      <c r="Q725" s="187"/>
      <c r="R725" s="187"/>
      <c r="S725" s="188"/>
    </row>
    <row r="726" spans="2:19" ht="12.75">
      <c r="B726" s="185"/>
      <c r="C726" s="186"/>
      <c r="D726" s="187"/>
      <c r="E726" s="187"/>
      <c r="F726" s="187"/>
      <c r="G726" s="187"/>
      <c r="H726" s="187"/>
      <c r="I726" s="187"/>
      <c r="J726" s="187"/>
      <c r="K726" s="187"/>
      <c r="L726" s="187"/>
      <c r="M726" s="187"/>
      <c r="N726" s="187"/>
      <c r="O726" s="187"/>
      <c r="P726" s="187"/>
      <c r="Q726" s="187"/>
      <c r="R726" s="187"/>
      <c r="S726" s="188"/>
    </row>
    <row r="727" spans="2:19" ht="12.75">
      <c r="B727" s="185"/>
      <c r="C727" s="186"/>
      <c r="D727" s="187"/>
      <c r="E727" s="187"/>
      <c r="F727" s="187"/>
      <c r="G727" s="187"/>
      <c r="H727" s="187"/>
      <c r="I727" s="187"/>
      <c r="J727" s="187"/>
      <c r="K727" s="187"/>
      <c r="L727" s="187"/>
      <c r="M727" s="187"/>
      <c r="N727" s="187"/>
      <c r="O727" s="187"/>
      <c r="P727" s="187"/>
      <c r="Q727" s="187"/>
      <c r="R727" s="187"/>
      <c r="S727" s="188"/>
    </row>
    <row r="728" spans="2:19" ht="12.75">
      <c r="B728" s="185"/>
      <c r="C728" s="186"/>
      <c r="D728" s="187"/>
      <c r="E728" s="187"/>
      <c r="F728" s="187"/>
      <c r="G728" s="187"/>
      <c r="H728" s="187"/>
      <c r="I728" s="187"/>
      <c r="J728" s="187"/>
      <c r="K728" s="187"/>
      <c r="L728" s="187"/>
      <c r="M728" s="187"/>
      <c r="N728" s="187"/>
      <c r="O728" s="187"/>
      <c r="P728" s="187"/>
      <c r="Q728" s="187"/>
      <c r="R728" s="187"/>
      <c r="S728" s="188"/>
    </row>
    <row r="729" spans="2:19" ht="12.75">
      <c r="B729" s="185"/>
      <c r="C729" s="186"/>
      <c r="D729" s="187"/>
      <c r="E729" s="187"/>
      <c r="F729" s="187"/>
      <c r="G729" s="187"/>
      <c r="H729" s="187"/>
      <c r="I729" s="187"/>
      <c r="J729" s="187"/>
      <c r="K729" s="187"/>
      <c r="L729" s="187"/>
      <c r="M729" s="187"/>
      <c r="N729" s="187"/>
      <c r="O729" s="187"/>
      <c r="P729" s="187"/>
      <c r="Q729" s="187"/>
      <c r="R729" s="187"/>
      <c r="S729" s="188"/>
    </row>
    <row r="730" spans="2:19" ht="12.75">
      <c r="B730" s="185"/>
      <c r="C730" s="186"/>
      <c r="D730" s="187"/>
      <c r="E730" s="187"/>
      <c r="F730" s="187"/>
      <c r="G730" s="187"/>
      <c r="H730" s="187"/>
      <c r="I730" s="187"/>
      <c r="J730" s="187"/>
      <c r="K730" s="187"/>
      <c r="L730" s="187"/>
      <c r="M730" s="187"/>
      <c r="N730" s="187"/>
      <c r="O730" s="187"/>
      <c r="P730" s="187"/>
      <c r="Q730" s="187"/>
      <c r="R730" s="187"/>
      <c r="S730" s="188"/>
    </row>
    <row r="731" spans="2:19" ht="12.75">
      <c r="B731" s="185"/>
      <c r="C731" s="186"/>
      <c r="D731" s="187"/>
      <c r="E731" s="187"/>
      <c r="F731" s="187"/>
      <c r="G731" s="187"/>
      <c r="H731" s="187"/>
      <c r="I731" s="187"/>
      <c r="J731" s="187"/>
      <c r="K731" s="187"/>
      <c r="L731" s="187"/>
      <c r="M731" s="187"/>
      <c r="N731" s="187"/>
      <c r="O731" s="187"/>
      <c r="P731" s="187"/>
      <c r="Q731" s="187"/>
      <c r="R731" s="187"/>
      <c r="S731" s="188"/>
    </row>
    <row r="732" spans="2:19" ht="12.75">
      <c r="B732" s="185"/>
      <c r="C732" s="186"/>
      <c r="D732" s="187"/>
      <c r="E732" s="187"/>
      <c r="F732" s="187"/>
      <c r="G732" s="187"/>
      <c r="H732" s="187"/>
      <c r="I732" s="187"/>
      <c r="J732" s="187"/>
      <c r="K732" s="187"/>
      <c r="L732" s="187"/>
      <c r="M732" s="187"/>
      <c r="N732" s="187"/>
      <c r="O732" s="187"/>
      <c r="P732" s="187"/>
      <c r="Q732" s="187"/>
      <c r="R732" s="187"/>
      <c r="S732" s="188"/>
    </row>
    <row r="733" spans="2:19" ht="12.75">
      <c r="B733" s="185"/>
      <c r="C733" s="186"/>
      <c r="D733" s="187"/>
      <c r="E733" s="187"/>
      <c r="F733" s="187"/>
      <c r="G733" s="187"/>
      <c r="H733" s="187"/>
      <c r="I733" s="187"/>
      <c r="J733" s="187"/>
      <c r="K733" s="187"/>
      <c r="L733" s="187"/>
      <c r="M733" s="187"/>
      <c r="N733" s="187"/>
      <c r="O733" s="187"/>
      <c r="P733" s="187"/>
      <c r="Q733" s="187"/>
      <c r="R733" s="187"/>
      <c r="S733" s="188"/>
    </row>
    <row r="734" spans="2:19" ht="12.75">
      <c r="B734" s="185"/>
      <c r="C734" s="186"/>
      <c r="D734" s="187"/>
      <c r="E734" s="187"/>
      <c r="F734" s="187"/>
      <c r="G734" s="187"/>
      <c r="H734" s="187"/>
      <c r="I734" s="187"/>
      <c r="J734" s="187"/>
      <c r="K734" s="187"/>
      <c r="L734" s="187"/>
      <c r="M734" s="187"/>
      <c r="N734" s="187"/>
      <c r="O734" s="187"/>
      <c r="P734" s="187"/>
      <c r="Q734" s="187"/>
      <c r="R734" s="187"/>
      <c r="S734" s="188"/>
    </row>
    <row r="735" spans="2:19" ht="12.75">
      <c r="B735" s="185"/>
      <c r="C735" s="186"/>
      <c r="D735" s="187"/>
      <c r="E735" s="187"/>
      <c r="F735" s="187"/>
      <c r="G735" s="187"/>
      <c r="H735" s="187"/>
      <c r="I735" s="187"/>
      <c r="J735" s="187"/>
      <c r="K735" s="187"/>
      <c r="L735" s="187"/>
      <c r="M735" s="187"/>
      <c r="N735" s="187"/>
      <c r="O735" s="187"/>
      <c r="P735" s="187"/>
      <c r="Q735" s="187"/>
      <c r="R735" s="187"/>
      <c r="S735" s="188"/>
    </row>
    <row r="736" spans="2:19" ht="12.75">
      <c r="B736" s="185"/>
      <c r="C736" s="186"/>
      <c r="D736" s="187"/>
      <c r="E736" s="187"/>
      <c r="F736" s="187"/>
      <c r="G736" s="187"/>
      <c r="H736" s="187"/>
      <c r="I736" s="187"/>
      <c r="J736" s="187"/>
      <c r="K736" s="187"/>
      <c r="L736" s="187"/>
      <c r="M736" s="187"/>
      <c r="N736" s="187"/>
      <c r="O736" s="187"/>
      <c r="P736" s="187"/>
      <c r="Q736" s="187"/>
      <c r="R736" s="187"/>
      <c r="S736" s="188"/>
    </row>
    <row r="737" spans="2:19" ht="12.75">
      <c r="B737" s="185"/>
      <c r="C737" s="186"/>
      <c r="D737" s="187"/>
      <c r="E737" s="187"/>
      <c r="F737" s="187"/>
      <c r="G737" s="187"/>
      <c r="H737" s="187"/>
      <c r="I737" s="187"/>
      <c r="J737" s="187"/>
      <c r="K737" s="187"/>
      <c r="L737" s="187"/>
      <c r="M737" s="187"/>
      <c r="N737" s="187"/>
      <c r="O737" s="187"/>
      <c r="P737" s="187"/>
      <c r="Q737" s="187"/>
      <c r="R737" s="187"/>
      <c r="S737" s="188"/>
    </row>
    <row r="738" spans="2:19" ht="12.75">
      <c r="B738" s="185"/>
      <c r="C738" s="186"/>
      <c r="D738" s="187"/>
      <c r="E738" s="187"/>
      <c r="F738" s="187"/>
      <c r="G738" s="187"/>
      <c r="H738" s="187"/>
      <c r="I738" s="187"/>
      <c r="J738" s="187"/>
      <c r="K738" s="187"/>
      <c r="L738" s="187"/>
      <c r="M738" s="187"/>
      <c r="N738" s="187"/>
      <c r="O738" s="187"/>
      <c r="P738" s="187"/>
      <c r="Q738" s="187"/>
      <c r="R738" s="187"/>
      <c r="S738" s="188"/>
    </row>
    <row r="739" spans="2:19" ht="12.75">
      <c r="B739" s="185"/>
      <c r="C739" s="186"/>
      <c r="D739" s="187"/>
      <c r="E739" s="187"/>
      <c r="F739" s="187"/>
      <c r="G739" s="187"/>
      <c r="H739" s="187"/>
      <c r="I739" s="187"/>
      <c r="J739" s="187"/>
      <c r="K739" s="187"/>
      <c r="L739" s="187"/>
      <c r="M739" s="187"/>
      <c r="N739" s="187"/>
      <c r="O739" s="187"/>
      <c r="P739" s="187"/>
      <c r="Q739" s="187"/>
      <c r="R739" s="187"/>
      <c r="S739" s="188"/>
    </row>
    <row r="740" spans="2:19" ht="12.75">
      <c r="B740" s="185"/>
      <c r="C740" s="186"/>
      <c r="D740" s="187"/>
      <c r="E740" s="187"/>
      <c r="F740" s="187"/>
      <c r="G740" s="187"/>
      <c r="H740" s="187"/>
      <c r="I740" s="187"/>
      <c r="J740" s="187"/>
      <c r="K740" s="187"/>
      <c r="L740" s="187"/>
      <c r="M740" s="187"/>
      <c r="N740" s="187"/>
      <c r="O740" s="187"/>
      <c r="P740" s="187"/>
      <c r="Q740" s="187"/>
      <c r="R740" s="187"/>
      <c r="S740" s="188"/>
    </row>
    <row r="741" spans="2:19" ht="12.75">
      <c r="B741" s="185"/>
      <c r="C741" s="186"/>
      <c r="D741" s="187"/>
      <c r="E741" s="187"/>
      <c r="F741" s="187"/>
      <c r="G741" s="187"/>
      <c r="H741" s="187"/>
      <c r="I741" s="187"/>
      <c r="J741" s="187"/>
      <c r="K741" s="187"/>
      <c r="L741" s="187"/>
      <c r="M741" s="187"/>
      <c r="N741" s="187"/>
      <c r="O741" s="187"/>
      <c r="P741" s="187"/>
      <c r="Q741" s="187"/>
      <c r="R741" s="187"/>
      <c r="S741" s="188"/>
    </row>
    <row r="742" spans="2:19" ht="12.75">
      <c r="B742" s="185"/>
      <c r="C742" s="186"/>
      <c r="D742" s="187"/>
      <c r="E742" s="187"/>
      <c r="F742" s="187"/>
      <c r="G742" s="187"/>
      <c r="H742" s="187"/>
      <c r="I742" s="187"/>
      <c r="J742" s="187"/>
      <c r="K742" s="187"/>
      <c r="L742" s="187"/>
      <c r="M742" s="187"/>
      <c r="N742" s="187"/>
      <c r="O742" s="187"/>
      <c r="P742" s="187"/>
      <c r="Q742" s="187"/>
      <c r="R742" s="187"/>
      <c r="S742" s="188"/>
    </row>
    <row r="743" spans="2:19" ht="12.75">
      <c r="B743" s="185"/>
      <c r="C743" s="186"/>
      <c r="D743" s="187"/>
      <c r="E743" s="187"/>
      <c r="F743" s="187"/>
      <c r="G743" s="187"/>
      <c r="H743" s="187"/>
      <c r="I743" s="187"/>
      <c r="J743" s="187"/>
      <c r="K743" s="187"/>
      <c r="L743" s="187"/>
      <c r="M743" s="187"/>
      <c r="N743" s="187"/>
      <c r="O743" s="187"/>
      <c r="P743" s="187"/>
      <c r="Q743" s="187"/>
      <c r="R743" s="187"/>
      <c r="S743" s="188"/>
    </row>
    <row r="744" spans="2:19" ht="12.75">
      <c r="B744" s="185"/>
      <c r="C744" s="186"/>
      <c r="D744" s="187"/>
      <c r="E744" s="187"/>
      <c r="F744" s="187"/>
      <c r="G744" s="187"/>
      <c r="H744" s="187"/>
      <c r="I744" s="187"/>
      <c r="J744" s="187"/>
      <c r="K744" s="187"/>
      <c r="L744" s="187"/>
      <c r="M744" s="187"/>
      <c r="N744" s="187"/>
      <c r="O744" s="187"/>
      <c r="P744" s="187"/>
      <c r="Q744" s="187"/>
      <c r="R744" s="187"/>
      <c r="S744" s="188"/>
    </row>
    <row r="745" spans="2:19" ht="12.75">
      <c r="B745" s="185"/>
      <c r="C745" s="186"/>
      <c r="D745" s="187"/>
      <c r="E745" s="187"/>
      <c r="F745" s="187"/>
      <c r="G745" s="187"/>
      <c r="H745" s="187"/>
      <c r="I745" s="187"/>
      <c r="J745" s="187"/>
      <c r="K745" s="187"/>
      <c r="L745" s="187"/>
      <c r="M745" s="187"/>
      <c r="N745" s="187"/>
      <c r="O745" s="187"/>
      <c r="P745" s="187"/>
      <c r="Q745" s="187"/>
      <c r="R745" s="187"/>
      <c r="S745" s="188"/>
    </row>
    <row r="746" spans="2:19" ht="12.75">
      <c r="B746" s="185"/>
      <c r="C746" s="186"/>
      <c r="D746" s="187"/>
      <c r="E746" s="187"/>
      <c r="F746" s="187"/>
      <c r="G746" s="187"/>
      <c r="H746" s="187"/>
      <c r="I746" s="187"/>
      <c r="J746" s="187"/>
      <c r="K746" s="187"/>
      <c r="L746" s="187"/>
      <c r="M746" s="187"/>
      <c r="N746" s="187"/>
      <c r="O746" s="187"/>
      <c r="P746" s="187"/>
      <c r="Q746" s="187"/>
      <c r="R746" s="187"/>
      <c r="S746" s="188"/>
    </row>
    <row r="747" spans="2:19" ht="12.75">
      <c r="B747" s="185"/>
      <c r="C747" s="186"/>
      <c r="D747" s="187"/>
      <c r="E747" s="187"/>
      <c r="F747" s="187"/>
      <c r="G747" s="187"/>
      <c r="H747" s="187"/>
      <c r="I747" s="187"/>
      <c r="J747" s="187"/>
      <c r="K747" s="187"/>
      <c r="L747" s="187"/>
      <c r="M747" s="187"/>
      <c r="N747" s="187"/>
      <c r="O747" s="187"/>
      <c r="P747" s="187"/>
      <c r="Q747" s="187"/>
      <c r="R747" s="187"/>
      <c r="S747" s="188"/>
    </row>
    <row r="748" spans="2:19" ht="12.75">
      <c r="B748" s="185"/>
      <c r="C748" s="186"/>
      <c r="D748" s="187"/>
      <c r="E748" s="187"/>
      <c r="F748" s="187"/>
      <c r="G748" s="187"/>
      <c r="H748" s="187"/>
      <c r="I748" s="187"/>
      <c r="J748" s="187"/>
      <c r="K748" s="187"/>
      <c r="L748" s="187"/>
      <c r="M748" s="187"/>
      <c r="N748" s="187"/>
      <c r="O748" s="187"/>
      <c r="P748" s="187"/>
      <c r="Q748" s="187"/>
      <c r="R748" s="187"/>
      <c r="S748" s="188"/>
    </row>
    <row r="749" spans="2:19" ht="12.75">
      <c r="B749" s="185"/>
      <c r="C749" s="186"/>
      <c r="D749" s="187"/>
      <c r="E749" s="187"/>
      <c r="F749" s="187"/>
      <c r="G749" s="187"/>
      <c r="H749" s="187"/>
      <c r="I749" s="187"/>
      <c r="J749" s="187"/>
      <c r="K749" s="187"/>
      <c r="L749" s="187"/>
      <c r="M749" s="187"/>
      <c r="N749" s="187"/>
      <c r="O749" s="187"/>
      <c r="P749" s="187"/>
      <c r="Q749" s="187"/>
      <c r="R749" s="187"/>
      <c r="S749" s="188"/>
    </row>
    <row r="750" spans="2:19" ht="12.75">
      <c r="B750" s="185"/>
      <c r="C750" s="186"/>
      <c r="D750" s="187"/>
      <c r="E750" s="187"/>
      <c r="F750" s="187"/>
      <c r="G750" s="187"/>
      <c r="H750" s="187"/>
      <c r="I750" s="187"/>
      <c r="J750" s="187"/>
      <c r="K750" s="187"/>
      <c r="L750" s="187"/>
      <c r="M750" s="187"/>
      <c r="N750" s="187"/>
      <c r="O750" s="187"/>
      <c r="P750" s="187"/>
      <c r="Q750" s="187"/>
      <c r="R750" s="187"/>
      <c r="S750" s="188"/>
    </row>
    <row r="751" spans="2:19" ht="12.75">
      <c r="B751" s="185"/>
      <c r="C751" s="186"/>
      <c r="D751" s="187"/>
      <c r="E751" s="187"/>
      <c r="F751" s="187"/>
      <c r="G751" s="187"/>
      <c r="H751" s="187"/>
      <c r="I751" s="187"/>
      <c r="J751" s="187"/>
      <c r="K751" s="187"/>
      <c r="L751" s="187"/>
      <c r="M751" s="187"/>
      <c r="N751" s="187"/>
      <c r="O751" s="187"/>
      <c r="P751" s="187"/>
      <c r="Q751" s="187"/>
      <c r="R751" s="187"/>
      <c r="S751" s="188"/>
    </row>
    <row r="752" spans="2:19" ht="12.75">
      <c r="B752" s="185"/>
      <c r="C752" s="186"/>
      <c r="D752" s="187"/>
      <c r="E752" s="187"/>
      <c r="F752" s="187"/>
      <c r="G752" s="187"/>
      <c r="H752" s="187"/>
      <c r="I752" s="187"/>
      <c r="J752" s="187"/>
      <c r="K752" s="187"/>
      <c r="L752" s="187"/>
      <c r="M752" s="187"/>
      <c r="N752" s="187"/>
      <c r="O752" s="187"/>
      <c r="P752" s="187"/>
      <c r="Q752" s="187"/>
      <c r="R752" s="187"/>
      <c r="S752" s="188"/>
    </row>
    <row r="753" spans="2:19" ht="12.75">
      <c r="B753" s="185"/>
      <c r="C753" s="186"/>
      <c r="D753" s="187"/>
      <c r="E753" s="187"/>
      <c r="F753" s="187"/>
      <c r="G753" s="187"/>
      <c r="H753" s="187"/>
      <c r="I753" s="187"/>
      <c r="J753" s="187"/>
      <c r="K753" s="187"/>
      <c r="L753" s="187"/>
      <c r="M753" s="187"/>
      <c r="N753" s="187"/>
      <c r="O753" s="187"/>
      <c r="P753" s="187"/>
      <c r="Q753" s="187"/>
      <c r="R753" s="187"/>
      <c r="S753" s="188"/>
    </row>
    <row r="754" spans="2:19" ht="12.75">
      <c r="B754" s="185"/>
      <c r="C754" s="186"/>
      <c r="D754" s="187"/>
      <c r="E754" s="187"/>
      <c r="F754" s="187"/>
      <c r="G754" s="187"/>
      <c r="H754" s="187"/>
      <c r="I754" s="187"/>
      <c r="J754" s="187"/>
      <c r="K754" s="187"/>
      <c r="L754" s="187"/>
      <c r="M754" s="187"/>
      <c r="N754" s="187"/>
      <c r="O754" s="187"/>
      <c r="P754" s="187"/>
      <c r="Q754" s="187"/>
      <c r="R754" s="187"/>
      <c r="S754" s="188"/>
    </row>
    <row r="755" spans="2:19" ht="12.75">
      <c r="B755" s="185"/>
      <c r="C755" s="186"/>
      <c r="D755" s="187"/>
      <c r="E755" s="187"/>
      <c r="F755" s="187"/>
      <c r="G755" s="187"/>
      <c r="H755" s="187"/>
      <c r="I755" s="187"/>
      <c r="J755" s="187"/>
      <c r="K755" s="187"/>
      <c r="L755" s="187"/>
      <c r="M755" s="187"/>
      <c r="N755" s="187"/>
      <c r="O755" s="187"/>
      <c r="P755" s="187"/>
      <c r="Q755" s="187"/>
      <c r="R755" s="187"/>
      <c r="S755" s="188"/>
    </row>
    <row r="756" spans="2:19" ht="12.75">
      <c r="B756" s="185"/>
      <c r="C756" s="186"/>
      <c r="D756" s="187"/>
      <c r="E756" s="187"/>
      <c r="F756" s="187"/>
      <c r="G756" s="187"/>
      <c r="H756" s="187"/>
      <c r="I756" s="187"/>
      <c r="J756" s="187"/>
      <c r="K756" s="187"/>
      <c r="L756" s="187"/>
      <c r="M756" s="187"/>
      <c r="N756" s="187"/>
      <c r="O756" s="187"/>
      <c r="P756" s="187"/>
      <c r="Q756" s="187"/>
      <c r="R756" s="187"/>
      <c r="S756" s="188"/>
    </row>
    <row r="757" spans="2:19" ht="12.75">
      <c r="B757" s="185"/>
      <c r="C757" s="186"/>
      <c r="D757" s="187"/>
      <c r="E757" s="187"/>
      <c r="F757" s="187"/>
      <c r="G757" s="187"/>
      <c r="H757" s="187"/>
      <c r="I757" s="187"/>
      <c r="J757" s="187"/>
      <c r="K757" s="187"/>
      <c r="L757" s="187"/>
      <c r="M757" s="187"/>
      <c r="N757" s="187"/>
      <c r="O757" s="187"/>
      <c r="P757" s="187"/>
      <c r="Q757" s="187"/>
      <c r="R757" s="187"/>
      <c r="S757" s="188"/>
    </row>
    <row r="758" spans="2:19" ht="12.75">
      <c r="B758" s="185"/>
      <c r="C758" s="186"/>
      <c r="D758" s="187"/>
      <c r="E758" s="187"/>
      <c r="F758" s="187"/>
      <c r="G758" s="187"/>
      <c r="H758" s="187"/>
      <c r="I758" s="187"/>
      <c r="J758" s="187"/>
      <c r="K758" s="187"/>
      <c r="L758" s="187"/>
      <c r="M758" s="187"/>
      <c r="N758" s="187"/>
      <c r="O758" s="187"/>
      <c r="P758" s="187"/>
      <c r="Q758" s="187"/>
      <c r="R758" s="187"/>
      <c r="S758" s="188"/>
    </row>
    <row r="759" spans="2:19" ht="12.75">
      <c r="B759" s="185"/>
      <c r="C759" s="186"/>
      <c r="D759" s="187"/>
      <c r="E759" s="187"/>
      <c r="F759" s="187"/>
      <c r="G759" s="187"/>
      <c r="H759" s="187"/>
      <c r="I759" s="187"/>
      <c r="J759" s="187"/>
      <c r="K759" s="187"/>
      <c r="L759" s="187"/>
      <c r="M759" s="187"/>
      <c r="N759" s="187"/>
      <c r="O759" s="187"/>
      <c r="P759" s="187"/>
      <c r="Q759" s="187"/>
      <c r="R759" s="187"/>
      <c r="S759" s="188"/>
    </row>
    <row r="760" spans="2:19" ht="12.75">
      <c r="B760" s="185"/>
      <c r="C760" s="186"/>
      <c r="D760" s="187"/>
      <c r="E760" s="187"/>
      <c r="F760" s="187"/>
      <c r="G760" s="187"/>
      <c r="H760" s="187"/>
      <c r="I760" s="187"/>
      <c r="J760" s="187"/>
      <c r="K760" s="187"/>
      <c r="L760" s="187"/>
      <c r="M760" s="187"/>
      <c r="N760" s="187"/>
      <c r="O760" s="187"/>
      <c r="P760" s="187"/>
      <c r="Q760" s="187"/>
      <c r="R760" s="187"/>
      <c r="S760" s="188"/>
    </row>
    <row r="761" spans="2:19" ht="12.75">
      <c r="B761" s="185"/>
      <c r="C761" s="186"/>
      <c r="D761" s="187"/>
      <c r="E761" s="187"/>
      <c r="F761" s="187"/>
      <c r="G761" s="187"/>
      <c r="H761" s="187"/>
      <c r="I761" s="187"/>
      <c r="J761" s="187"/>
      <c r="K761" s="187"/>
      <c r="L761" s="187"/>
      <c r="M761" s="187"/>
      <c r="N761" s="187"/>
      <c r="O761" s="187"/>
      <c r="P761" s="187"/>
      <c r="Q761" s="187"/>
      <c r="R761" s="187"/>
      <c r="S761" s="188"/>
    </row>
    <row r="762" spans="2:19" ht="12.75">
      <c r="B762" s="185"/>
      <c r="C762" s="186"/>
      <c r="D762" s="187"/>
      <c r="E762" s="187"/>
      <c r="F762" s="187"/>
      <c r="G762" s="187"/>
      <c r="H762" s="187"/>
      <c r="I762" s="187"/>
      <c r="J762" s="187"/>
      <c r="K762" s="187"/>
      <c r="L762" s="187"/>
      <c r="M762" s="187"/>
      <c r="N762" s="187"/>
      <c r="O762" s="187"/>
      <c r="P762" s="187"/>
      <c r="Q762" s="187"/>
      <c r="R762" s="187"/>
      <c r="S762" s="188"/>
    </row>
    <row r="763" spans="2:19" ht="12.75">
      <c r="B763" s="185"/>
      <c r="C763" s="186"/>
      <c r="D763" s="187"/>
      <c r="E763" s="187"/>
      <c r="F763" s="187"/>
      <c r="G763" s="187"/>
      <c r="H763" s="187"/>
      <c r="I763" s="187"/>
      <c r="J763" s="187"/>
      <c r="K763" s="187"/>
      <c r="L763" s="187"/>
      <c r="M763" s="187"/>
      <c r="N763" s="187"/>
      <c r="O763" s="187"/>
      <c r="P763" s="187"/>
      <c r="Q763" s="187"/>
      <c r="R763" s="187"/>
      <c r="S763" s="188"/>
    </row>
    <row r="764" spans="2:19" ht="12.75">
      <c r="B764" s="185"/>
      <c r="C764" s="186"/>
      <c r="D764" s="187"/>
      <c r="E764" s="187"/>
      <c r="F764" s="187"/>
      <c r="G764" s="187"/>
      <c r="H764" s="187"/>
      <c r="I764" s="187"/>
      <c r="J764" s="187"/>
      <c r="K764" s="187"/>
      <c r="L764" s="187"/>
      <c r="M764" s="187"/>
      <c r="N764" s="187"/>
      <c r="O764" s="187"/>
      <c r="P764" s="187"/>
      <c r="Q764" s="187"/>
      <c r="R764" s="187"/>
      <c r="S764" s="188"/>
    </row>
    <row r="765" spans="2:19" ht="12.75">
      <c r="B765" s="185"/>
      <c r="C765" s="186"/>
      <c r="D765" s="187"/>
      <c r="E765" s="187"/>
      <c r="F765" s="187"/>
      <c r="G765" s="187"/>
      <c r="H765" s="187"/>
      <c r="I765" s="187"/>
      <c r="J765" s="187"/>
      <c r="K765" s="187"/>
      <c r="L765" s="187"/>
      <c r="M765" s="187"/>
      <c r="N765" s="187"/>
      <c r="O765" s="187"/>
      <c r="P765" s="187"/>
      <c r="Q765" s="187"/>
      <c r="R765" s="187"/>
      <c r="S765" s="188"/>
    </row>
    <row r="766" spans="2:19" ht="12.75">
      <c r="B766" s="185"/>
      <c r="C766" s="186"/>
      <c r="D766" s="187"/>
      <c r="E766" s="187"/>
      <c r="F766" s="187"/>
      <c r="G766" s="187"/>
      <c r="H766" s="187"/>
      <c r="I766" s="187"/>
      <c r="J766" s="187"/>
      <c r="K766" s="187"/>
      <c r="L766" s="187"/>
      <c r="M766" s="187"/>
      <c r="N766" s="187"/>
      <c r="O766" s="187"/>
      <c r="P766" s="187"/>
      <c r="Q766" s="187"/>
      <c r="R766" s="187"/>
      <c r="S766" s="188"/>
    </row>
    <row r="767" spans="2:19" ht="12.75">
      <c r="B767" s="185"/>
      <c r="C767" s="186"/>
      <c r="D767" s="187"/>
      <c r="E767" s="187"/>
      <c r="F767" s="187"/>
      <c r="G767" s="187"/>
      <c r="H767" s="187"/>
      <c r="I767" s="187"/>
      <c r="J767" s="187"/>
      <c r="K767" s="187"/>
      <c r="L767" s="187"/>
      <c r="M767" s="187"/>
      <c r="N767" s="187"/>
      <c r="O767" s="187"/>
      <c r="P767" s="187"/>
      <c r="Q767" s="187"/>
      <c r="R767" s="187"/>
      <c r="S767" s="188"/>
    </row>
    <row r="768" spans="2:19" ht="12.75">
      <c r="B768" s="185"/>
      <c r="C768" s="186"/>
      <c r="D768" s="187"/>
      <c r="E768" s="187"/>
      <c r="F768" s="187"/>
      <c r="G768" s="187"/>
      <c r="H768" s="187"/>
      <c r="I768" s="187"/>
      <c r="J768" s="187"/>
      <c r="K768" s="187"/>
      <c r="L768" s="187"/>
      <c r="M768" s="187"/>
      <c r="N768" s="187"/>
      <c r="O768" s="187"/>
      <c r="P768" s="187"/>
      <c r="Q768" s="187"/>
      <c r="R768" s="187"/>
      <c r="S768" s="188"/>
    </row>
    <row r="769" spans="2:19" ht="12.75">
      <c r="B769" s="185"/>
      <c r="C769" s="186"/>
      <c r="D769" s="187"/>
      <c r="E769" s="187"/>
      <c r="F769" s="187"/>
      <c r="G769" s="187"/>
      <c r="H769" s="187"/>
      <c r="I769" s="187"/>
      <c r="J769" s="187"/>
      <c r="K769" s="187"/>
      <c r="L769" s="187"/>
      <c r="M769" s="187"/>
      <c r="N769" s="187"/>
      <c r="O769" s="187"/>
      <c r="P769" s="187"/>
      <c r="Q769" s="187"/>
      <c r="R769" s="187"/>
      <c r="S769" s="188"/>
    </row>
    <row r="770" spans="2:19" ht="12.75">
      <c r="B770" s="185"/>
      <c r="C770" s="186"/>
      <c r="D770" s="187"/>
      <c r="E770" s="187"/>
      <c r="F770" s="187"/>
      <c r="G770" s="187"/>
      <c r="H770" s="187"/>
      <c r="I770" s="187"/>
      <c r="J770" s="187"/>
      <c r="K770" s="187"/>
      <c r="L770" s="187"/>
      <c r="M770" s="187"/>
      <c r="N770" s="187"/>
      <c r="O770" s="187"/>
      <c r="P770" s="187"/>
      <c r="Q770" s="187"/>
      <c r="R770" s="187"/>
      <c r="S770" s="188"/>
    </row>
    <row r="771" spans="2:19" ht="12.75">
      <c r="B771" s="185"/>
      <c r="C771" s="186"/>
      <c r="D771" s="187"/>
      <c r="E771" s="187"/>
      <c r="F771" s="187"/>
      <c r="G771" s="187"/>
      <c r="H771" s="187"/>
      <c r="I771" s="187"/>
      <c r="J771" s="187"/>
      <c r="K771" s="187"/>
      <c r="L771" s="187"/>
      <c r="M771" s="187"/>
      <c r="N771" s="187"/>
      <c r="O771" s="187"/>
      <c r="P771" s="187"/>
      <c r="Q771" s="187"/>
      <c r="R771" s="187"/>
      <c r="S771" s="188"/>
    </row>
    <row r="772" spans="2:19" ht="12.75">
      <c r="B772" s="185"/>
      <c r="C772" s="186"/>
      <c r="D772" s="187"/>
      <c r="E772" s="187"/>
      <c r="F772" s="187"/>
      <c r="G772" s="187"/>
      <c r="H772" s="187"/>
      <c r="I772" s="187"/>
      <c r="J772" s="187"/>
      <c r="K772" s="187"/>
      <c r="L772" s="187"/>
      <c r="M772" s="187"/>
      <c r="N772" s="187"/>
      <c r="O772" s="187"/>
      <c r="P772" s="187"/>
      <c r="Q772" s="187"/>
      <c r="R772" s="187"/>
      <c r="S772" s="188"/>
    </row>
    <row r="773" spans="2:19" ht="12.75">
      <c r="B773" s="185"/>
      <c r="C773" s="186"/>
      <c r="D773" s="187"/>
      <c r="E773" s="187"/>
      <c r="F773" s="187"/>
      <c r="G773" s="187"/>
      <c r="H773" s="187"/>
      <c r="I773" s="187"/>
      <c r="J773" s="187"/>
      <c r="K773" s="187"/>
      <c r="L773" s="187"/>
      <c r="M773" s="187"/>
      <c r="N773" s="187"/>
      <c r="O773" s="187"/>
      <c r="P773" s="187"/>
      <c r="Q773" s="187"/>
      <c r="R773" s="187"/>
      <c r="S773" s="188"/>
    </row>
    <row r="774" spans="2:19" ht="12.75">
      <c r="B774" s="185"/>
      <c r="C774" s="186"/>
      <c r="D774" s="187"/>
      <c r="E774" s="187"/>
      <c r="F774" s="187"/>
      <c r="G774" s="187"/>
      <c r="H774" s="187"/>
      <c r="I774" s="187"/>
      <c r="J774" s="187"/>
      <c r="K774" s="187"/>
      <c r="L774" s="187"/>
      <c r="M774" s="187"/>
      <c r="N774" s="187"/>
      <c r="O774" s="187"/>
      <c r="P774" s="187"/>
      <c r="Q774" s="187"/>
      <c r="R774" s="187"/>
      <c r="S774" s="188"/>
    </row>
    <row r="775" spans="2:19" ht="12.75">
      <c r="B775" s="185"/>
      <c r="C775" s="186"/>
      <c r="D775" s="187"/>
      <c r="E775" s="187"/>
      <c r="F775" s="187"/>
      <c r="G775" s="187"/>
      <c r="H775" s="187"/>
      <c r="I775" s="187"/>
      <c r="J775" s="187"/>
      <c r="K775" s="187"/>
      <c r="L775" s="187"/>
      <c r="M775" s="187"/>
      <c r="N775" s="187"/>
      <c r="O775" s="187"/>
      <c r="P775" s="187"/>
      <c r="Q775" s="187"/>
      <c r="R775" s="187"/>
      <c r="S775" s="188"/>
    </row>
    <row r="776" spans="2:19" ht="12.75">
      <c r="B776" s="185"/>
      <c r="C776" s="186"/>
      <c r="D776" s="187"/>
      <c r="E776" s="187"/>
      <c r="F776" s="187"/>
      <c r="G776" s="187"/>
      <c r="H776" s="187"/>
      <c r="I776" s="187"/>
      <c r="J776" s="187"/>
      <c r="K776" s="187"/>
      <c r="L776" s="187"/>
      <c r="M776" s="187"/>
      <c r="N776" s="187"/>
      <c r="O776" s="187"/>
      <c r="P776" s="187"/>
      <c r="Q776" s="187"/>
      <c r="R776" s="187"/>
      <c r="S776" s="188"/>
    </row>
    <row r="777" spans="2:19" ht="12.75">
      <c r="B777" s="185"/>
      <c r="C777" s="186"/>
      <c r="D777" s="187"/>
      <c r="E777" s="187"/>
      <c r="F777" s="187"/>
      <c r="G777" s="187"/>
      <c r="H777" s="187"/>
      <c r="I777" s="187"/>
      <c r="J777" s="187"/>
      <c r="K777" s="187"/>
      <c r="L777" s="187"/>
      <c r="M777" s="187"/>
      <c r="N777" s="187"/>
      <c r="O777" s="187"/>
      <c r="P777" s="187"/>
      <c r="Q777" s="187"/>
      <c r="R777" s="187"/>
      <c r="S777" s="188"/>
    </row>
    <row r="778" spans="2:19" ht="12.75">
      <c r="B778" s="185"/>
      <c r="C778" s="186"/>
      <c r="D778" s="187"/>
      <c r="E778" s="187"/>
      <c r="F778" s="187"/>
      <c r="G778" s="187"/>
      <c r="H778" s="187"/>
      <c r="I778" s="187"/>
      <c r="J778" s="187"/>
      <c r="K778" s="187"/>
      <c r="L778" s="187"/>
      <c r="M778" s="187"/>
      <c r="N778" s="187"/>
      <c r="O778" s="187"/>
      <c r="P778" s="187"/>
      <c r="Q778" s="187"/>
      <c r="R778" s="187"/>
      <c r="S778" s="188"/>
    </row>
    <row r="779" spans="2:19" ht="12.75">
      <c r="B779" s="185"/>
      <c r="C779" s="186"/>
      <c r="D779" s="187"/>
      <c r="E779" s="187"/>
      <c r="F779" s="187"/>
      <c r="G779" s="187"/>
      <c r="H779" s="187"/>
      <c r="I779" s="187"/>
      <c r="J779" s="187"/>
      <c r="K779" s="187"/>
      <c r="L779" s="187"/>
      <c r="M779" s="187"/>
      <c r="N779" s="187"/>
      <c r="O779" s="187"/>
      <c r="P779" s="187"/>
      <c r="Q779" s="187"/>
      <c r="R779" s="187"/>
      <c r="S779" s="188"/>
    </row>
    <row r="780" spans="2:19" ht="12.75">
      <c r="B780" s="185"/>
      <c r="C780" s="186"/>
      <c r="D780" s="187"/>
      <c r="E780" s="187"/>
      <c r="F780" s="187"/>
      <c r="G780" s="187"/>
      <c r="H780" s="187"/>
      <c r="I780" s="187"/>
      <c r="J780" s="187"/>
      <c r="K780" s="187"/>
      <c r="L780" s="187"/>
      <c r="M780" s="187"/>
      <c r="N780" s="187"/>
      <c r="O780" s="187"/>
      <c r="P780" s="187"/>
      <c r="Q780" s="187"/>
      <c r="R780" s="187"/>
      <c r="S780" s="188"/>
    </row>
    <row r="781" spans="2:19" ht="12.75">
      <c r="B781" s="185"/>
      <c r="C781" s="186"/>
      <c r="D781" s="187"/>
      <c r="E781" s="187"/>
      <c r="F781" s="187"/>
      <c r="G781" s="187"/>
      <c r="H781" s="187"/>
      <c r="I781" s="187"/>
      <c r="J781" s="187"/>
      <c r="K781" s="187"/>
      <c r="L781" s="187"/>
      <c r="M781" s="187"/>
      <c r="N781" s="187"/>
      <c r="O781" s="187"/>
      <c r="P781" s="187"/>
      <c r="Q781" s="187"/>
      <c r="R781" s="187"/>
      <c r="S781" s="188"/>
    </row>
    <row r="782" spans="2:19" ht="12.75">
      <c r="B782" s="185"/>
      <c r="C782" s="186"/>
      <c r="D782" s="187"/>
      <c r="E782" s="187"/>
      <c r="F782" s="187"/>
      <c r="G782" s="187"/>
      <c r="H782" s="187"/>
      <c r="I782" s="187"/>
      <c r="J782" s="187"/>
      <c r="K782" s="187"/>
      <c r="L782" s="187"/>
      <c r="M782" s="187"/>
      <c r="N782" s="187"/>
      <c r="O782" s="187"/>
      <c r="P782" s="187"/>
      <c r="Q782" s="187"/>
      <c r="R782" s="187"/>
      <c r="S782" s="188"/>
    </row>
    <row r="783" spans="2:19" ht="12.75">
      <c r="B783" s="185"/>
      <c r="C783" s="186"/>
      <c r="D783" s="187"/>
      <c r="E783" s="187"/>
      <c r="F783" s="187"/>
      <c r="G783" s="187"/>
      <c r="H783" s="187"/>
      <c r="I783" s="187"/>
      <c r="J783" s="187"/>
      <c r="K783" s="187"/>
      <c r="L783" s="187"/>
      <c r="M783" s="187"/>
      <c r="N783" s="187"/>
      <c r="O783" s="187"/>
      <c r="P783" s="187"/>
      <c r="Q783" s="187"/>
      <c r="R783" s="187"/>
      <c r="S783" s="188"/>
    </row>
    <row r="784" spans="2:19" ht="12.75">
      <c r="B784" s="185"/>
      <c r="C784" s="186"/>
      <c r="D784" s="187"/>
      <c r="E784" s="187"/>
      <c r="F784" s="187"/>
      <c r="G784" s="187"/>
      <c r="H784" s="187"/>
      <c r="I784" s="187"/>
      <c r="J784" s="187"/>
      <c r="K784" s="187"/>
      <c r="L784" s="187"/>
      <c r="M784" s="187"/>
      <c r="N784" s="187"/>
      <c r="O784" s="187"/>
      <c r="P784" s="187"/>
      <c r="Q784" s="187"/>
      <c r="R784" s="187"/>
      <c r="S784" s="188"/>
    </row>
    <row r="785" spans="2:19" ht="12.75">
      <c r="B785" s="185"/>
      <c r="C785" s="186"/>
      <c r="D785" s="187"/>
      <c r="E785" s="187"/>
      <c r="F785" s="187"/>
      <c r="G785" s="187"/>
      <c r="H785" s="187"/>
      <c r="I785" s="187"/>
      <c r="J785" s="187"/>
      <c r="K785" s="187"/>
      <c r="L785" s="187"/>
      <c r="M785" s="187"/>
      <c r="N785" s="187"/>
      <c r="O785" s="187"/>
      <c r="P785" s="187"/>
      <c r="Q785" s="187"/>
      <c r="R785" s="187"/>
      <c r="S785" s="188"/>
    </row>
    <row r="786" spans="2:19" ht="12.75">
      <c r="B786" s="185"/>
      <c r="C786" s="186"/>
      <c r="D786" s="187"/>
      <c r="E786" s="187"/>
      <c r="F786" s="187"/>
      <c r="G786" s="187"/>
      <c r="H786" s="187"/>
      <c r="I786" s="187"/>
      <c r="J786" s="187"/>
      <c r="K786" s="187"/>
      <c r="L786" s="187"/>
      <c r="M786" s="187"/>
      <c r="N786" s="187"/>
      <c r="O786" s="187"/>
      <c r="P786" s="187"/>
      <c r="Q786" s="187"/>
      <c r="R786" s="187"/>
      <c r="S786" s="188"/>
    </row>
    <row r="787" spans="2:19" ht="12.75">
      <c r="B787" s="185"/>
      <c r="C787" s="186"/>
      <c r="D787" s="187"/>
      <c r="E787" s="187"/>
      <c r="F787" s="187"/>
      <c r="G787" s="187"/>
      <c r="H787" s="187"/>
      <c r="I787" s="187"/>
      <c r="J787" s="187"/>
      <c r="K787" s="187"/>
      <c r="L787" s="187"/>
      <c r="M787" s="187"/>
      <c r="N787" s="187"/>
      <c r="O787" s="187"/>
      <c r="P787" s="187"/>
      <c r="Q787" s="187"/>
      <c r="R787" s="187"/>
      <c r="S787" s="188"/>
    </row>
    <row r="788" spans="2:19" ht="12.75">
      <c r="B788" s="185"/>
      <c r="C788" s="186"/>
      <c r="D788" s="187"/>
      <c r="E788" s="187"/>
      <c r="F788" s="187"/>
      <c r="G788" s="187"/>
      <c r="H788" s="187"/>
      <c r="I788" s="187"/>
      <c r="J788" s="187"/>
      <c r="K788" s="187"/>
      <c r="L788" s="187"/>
      <c r="M788" s="187"/>
      <c r="N788" s="187"/>
      <c r="O788" s="187"/>
      <c r="P788" s="187"/>
      <c r="Q788" s="187"/>
      <c r="R788" s="187"/>
      <c r="S788" s="188"/>
    </row>
    <row r="789" spans="2:19" ht="12.75">
      <c r="B789" s="185"/>
      <c r="C789" s="186"/>
      <c r="D789" s="187"/>
      <c r="E789" s="187"/>
      <c r="F789" s="187"/>
      <c r="G789" s="187"/>
      <c r="H789" s="187"/>
      <c r="I789" s="187"/>
      <c r="J789" s="187"/>
      <c r="K789" s="187"/>
      <c r="L789" s="187"/>
      <c r="M789" s="187"/>
      <c r="N789" s="187"/>
      <c r="O789" s="187"/>
      <c r="P789" s="187"/>
      <c r="Q789" s="187"/>
      <c r="R789" s="187"/>
      <c r="S789" s="188"/>
    </row>
    <row r="790" spans="2:19" ht="12.75">
      <c r="B790" s="185"/>
      <c r="C790" s="186"/>
      <c r="D790" s="187"/>
      <c r="E790" s="187"/>
      <c r="F790" s="187"/>
      <c r="G790" s="187"/>
      <c r="H790" s="187"/>
      <c r="I790" s="187"/>
      <c r="J790" s="187"/>
      <c r="K790" s="187"/>
      <c r="L790" s="187"/>
      <c r="M790" s="187"/>
      <c r="N790" s="187"/>
      <c r="O790" s="187"/>
      <c r="P790" s="187"/>
      <c r="Q790" s="187"/>
      <c r="R790" s="187"/>
      <c r="S790" s="188"/>
    </row>
    <row r="791" spans="2:19" ht="12.75">
      <c r="B791" s="185"/>
      <c r="C791" s="186"/>
      <c r="D791" s="187"/>
      <c r="E791" s="187"/>
      <c r="F791" s="187"/>
      <c r="G791" s="187"/>
      <c r="H791" s="187"/>
      <c r="I791" s="187"/>
      <c r="J791" s="187"/>
      <c r="K791" s="187"/>
      <c r="L791" s="187"/>
      <c r="M791" s="187"/>
      <c r="N791" s="187"/>
      <c r="O791" s="187"/>
      <c r="P791" s="187"/>
      <c r="Q791" s="187"/>
      <c r="R791" s="187"/>
      <c r="S791" s="188"/>
    </row>
    <row r="792" spans="2:19" ht="12.75">
      <c r="B792" s="185"/>
      <c r="C792" s="186"/>
      <c r="D792" s="187"/>
      <c r="E792" s="187"/>
      <c r="F792" s="187"/>
      <c r="G792" s="187"/>
      <c r="H792" s="187"/>
      <c r="I792" s="187"/>
      <c r="J792" s="187"/>
      <c r="K792" s="187"/>
      <c r="L792" s="187"/>
      <c r="M792" s="187"/>
      <c r="N792" s="187"/>
      <c r="O792" s="187"/>
      <c r="P792" s="187"/>
      <c r="Q792" s="187"/>
      <c r="R792" s="187"/>
      <c r="S792" s="188"/>
    </row>
    <row r="793" spans="2:19" ht="12.75">
      <c r="B793" s="185"/>
      <c r="C793" s="186"/>
      <c r="D793" s="187"/>
      <c r="E793" s="187"/>
      <c r="F793" s="187"/>
      <c r="G793" s="187"/>
      <c r="H793" s="187"/>
      <c r="I793" s="187"/>
      <c r="J793" s="187"/>
      <c r="K793" s="187"/>
      <c r="L793" s="187"/>
      <c r="M793" s="187"/>
      <c r="N793" s="187"/>
      <c r="O793" s="187"/>
      <c r="P793" s="187"/>
      <c r="Q793" s="187"/>
      <c r="R793" s="187"/>
      <c r="S793" s="188"/>
    </row>
    <row r="794" spans="2:19" ht="12.75">
      <c r="B794" s="185"/>
      <c r="C794" s="186"/>
      <c r="D794" s="187"/>
      <c r="E794" s="187"/>
      <c r="F794" s="187"/>
      <c r="G794" s="187"/>
      <c r="H794" s="187"/>
      <c r="I794" s="187"/>
      <c r="J794" s="187"/>
      <c r="K794" s="187"/>
      <c r="L794" s="187"/>
      <c r="M794" s="187"/>
      <c r="N794" s="187"/>
      <c r="O794" s="187"/>
      <c r="P794" s="187"/>
      <c r="Q794" s="187"/>
      <c r="R794" s="187"/>
      <c r="S794" s="188"/>
    </row>
    <row r="795" spans="2:19" ht="12.75">
      <c r="B795" s="185"/>
      <c r="C795" s="186"/>
      <c r="D795" s="187"/>
      <c r="E795" s="187"/>
      <c r="F795" s="187"/>
      <c r="G795" s="187"/>
      <c r="H795" s="187"/>
      <c r="I795" s="187"/>
      <c r="J795" s="187"/>
      <c r="K795" s="187"/>
      <c r="L795" s="187"/>
      <c r="M795" s="187"/>
      <c r="N795" s="187"/>
      <c r="O795" s="187"/>
      <c r="P795" s="187"/>
      <c r="Q795" s="187"/>
      <c r="R795" s="187"/>
      <c r="S795" s="188"/>
    </row>
    <row r="796" spans="2:19" ht="12.75">
      <c r="B796" s="185"/>
      <c r="C796" s="186"/>
      <c r="D796" s="187"/>
      <c r="E796" s="187"/>
      <c r="F796" s="187"/>
      <c r="G796" s="187"/>
      <c r="H796" s="187"/>
      <c r="I796" s="187"/>
      <c r="J796" s="187"/>
      <c r="K796" s="187"/>
      <c r="L796" s="187"/>
      <c r="M796" s="187"/>
      <c r="N796" s="187"/>
      <c r="O796" s="187"/>
      <c r="P796" s="187"/>
      <c r="Q796" s="187"/>
      <c r="R796" s="187"/>
      <c r="S796" s="188"/>
    </row>
    <row r="797" spans="2:19" ht="12.75">
      <c r="B797" s="185"/>
      <c r="C797" s="186"/>
      <c r="D797" s="187"/>
      <c r="E797" s="187"/>
      <c r="F797" s="187"/>
      <c r="G797" s="187"/>
      <c r="H797" s="187"/>
      <c r="I797" s="187"/>
      <c r="J797" s="187"/>
      <c r="K797" s="187"/>
      <c r="L797" s="187"/>
      <c r="M797" s="187"/>
      <c r="N797" s="187"/>
      <c r="O797" s="187"/>
      <c r="P797" s="187"/>
      <c r="Q797" s="187"/>
      <c r="R797" s="187"/>
      <c r="S797" s="188"/>
    </row>
    <row r="798" spans="2:19" ht="12.75">
      <c r="B798" s="185"/>
      <c r="C798" s="186"/>
      <c r="D798" s="187"/>
      <c r="E798" s="187"/>
      <c r="F798" s="187"/>
      <c r="G798" s="187"/>
      <c r="H798" s="187"/>
      <c r="I798" s="187"/>
      <c r="J798" s="187"/>
      <c r="K798" s="187"/>
      <c r="L798" s="187"/>
      <c r="M798" s="187"/>
      <c r="N798" s="187"/>
      <c r="O798" s="187"/>
      <c r="P798" s="187"/>
      <c r="Q798" s="187"/>
      <c r="R798" s="187"/>
      <c r="S798" s="188"/>
    </row>
    <row r="799" spans="2:19" ht="12.75">
      <c r="B799" s="185"/>
      <c r="C799" s="186"/>
      <c r="D799" s="187"/>
      <c r="E799" s="187"/>
      <c r="F799" s="187"/>
      <c r="G799" s="187"/>
      <c r="H799" s="187"/>
      <c r="I799" s="187"/>
      <c r="J799" s="187"/>
      <c r="K799" s="187"/>
      <c r="L799" s="187"/>
      <c r="M799" s="187"/>
      <c r="N799" s="187"/>
      <c r="O799" s="187"/>
      <c r="P799" s="187"/>
      <c r="Q799" s="187"/>
      <c r="R799" s="187"/>
      <c r="S799" s="188"/>
    </row>
    <row r="800" spans="2:19" ht="12.75">
      <c r="B800" s="185"/>
      <c r="C800" s="186"/>
      <c r="D800" s="187"/>
      <c r="E800" s="187"/>
      <c r="F800" s="187"/>
      <c r="G800" s="187"/>
      <c r="H800" s="187"/>
      <c r="I800" s="187"/>
      <c r="J800" s="187"/>
      <c r="K800" s="187"/>
      <c r="L800" s="187"/>
      <c r="M800" s="187"/>
      <c r="N800" s="187"/>
      <c r="O800" s="187"/>
      <c r="P800" s="187"/>
      <c r="Q800" s="187"/>
      <c r="R800" s="187"/>
      <c r="S800" s="188"/>
    </row>
    <row r="801" spans="2:19" ht="12.75">
      <c r="B801" s="185"/>
      <c r="C801" s="186"/>
      <c r="D801" s="187"/>
      <c r="E801" s="187"/>
      <c r="F801" s="187"/>
      <c r="G801" s="187"/>
      <c r="H801" s="187"/>
      <c r="I801" s="187"/>
      <c r="J801" s="187"/>
      <c r="K801" s="187"/>
      <c r="L801" s="187"/>
      <c r="M801" s="187"/>
      <c r="N801" s="187"/>
      <c r="O801" s="187"/>
      <c r="P801" s="187"/>
      <c r="Q801" s="187"/>
      <c r="R801" s="187"/>
      <c r="S801" s="188"/>
    </row>
    <row r="802" spans="2:19" ht="12.75">
      <c r="B802" s="185"/>
      <c r="C802" s="186"/>
      <c r="D802" s="187"/>
      <c r="E802" s="187"/>
      <c r="F802" s="187"/>
      <c r="G802" s="187"/>
      <c r="H802" s="187"/>
      <c r="I802" s="187"/>
      <c r="J802" s="187"/>
      <c r="K802" s="187"/>
      <c r="L802" s="187"/>
      <c r="M802" s="187"/>
      <c r="N802" s="187"/>
      <c r="O802" s="187"/>
      <c r="P802" s="187"/>
      <c r="Q802" s="187"/>
      <c r="R802" s="187"/>
      <c r="S802" s="188"/>
    </row>
    <row r="803" spans="2:19" ht="12.75">
      <c r="B803" s="185"/>
      <c r="C803" s="186"/>
      <c r="D803" s="187"/>
      <c r="E803" s="187"/>
      <c r="F803" s="187"/>
      <c r="G803" s="187"/>
      <c r="H803" s="187"/>
      <c r="I803" s="187"/>
      <c r="J803" s="187"/>
      <c r="K803" s="187"/>
      <c r="L803" s="187"/>
      <c r="M803" s="187"/>
      <c r="N803" s="187"/>
      <c r="O803" s="187"/>
      <c r="P803" s="187"/>
      <c r="Q803" s="187"/>
      <c r="R803" s="187"/>
      <c r="S803" s="188"/>
    </row>
    <row r="804" spans="2:19" ht="12.75">
      <c r="B804" s="185"/>
      <c r="C804" s="186"/>
      <c r="D804" s="187"/>
      <c r="E804" s="187"/>
      <c r="F804" s="187"/>
      <c r="G804" s="187"/>
      <c r="H804" s="187"/>
      <c r="I804" s="187"/>
      <c r="J804" s="187"/>
      <c r="K804" s="187"/>
      <c r="L804" s="187"/>
      <c r="M804" s="187"/>
      <c r="N804" s="187"/>
      <c r="O804" s="187"/>
      <c r="P804" s="187"/>
      <c r="Q804" s="187"/>
      <c r="R804" s="187"/>
      <c r="S804" s="188"/>
    </row>
    <row r="805" spans="2:19" ht="12.75">
      <c r="B805" s="185"/>
      <c r="C805" s="186"/>
      <c r="D805" s="187"/>
      <c r="E805" s="187"/>
      <c r="F805" s="187"/>
      <c r="G805" s="187"/>
      <c r="H805" s="187"/>
      <c r="I805" s="187"/>
      <c r="J805" s="187"/>
      <c r="K805" s="187"/>
      <c r="L805" s="187"/>
      <c r="M805" s="187"/>
      <c r="N805" s="187"/>
      <c r="O805" s="187"/>
      <c r="P805" s="187"/>
      <c r="Q805" s="187"/>
      <c r="R805" s="187"/>
      <c r="S805" s="188"/>
    </row>
    <row r="806" spans="2:19" ht="12.75">
      <c r="B806" s="185"/>
      <c r="C806" s="186"/>
      <c r="D806" s="187"/>
      <c r="E806" s="187"/>
      <c r="F806" s="187"/>
      <c r="G806" s="187"/>
      <c r="H806" s="187"/>
      <c r="I806" s="187"/>
      <c r="J806" s="187"/>
      <c r="K806" s="187"/>
      <c r="L806" s="187"/>
      <c r="M806" s="187"/>
      <c r="N806" s="187"/>
      <c r="O806" s="187"/>
      <c r="P806" s="187"/>
      <c r="Q806" s="187"/>
      <c r="R806" s="187"/>
      <c r="S806" s="188"/>
    </row>
    <row r="807" spans="2:19" ht="12.75">
      <c r="B807" s="185"/>
      <c r="C807" s="186"/>
      <c r="D807" s="187"/>
      <c r="E807" s="187"/>
      <c r="F807" s="187"/>
      <c r="G807" s="187"/>
      <c r="H807" s="187"/>
      <c r="I807" s="187"/>
      <c r="J807" s="187"/>
      <c r="K807" s="187"/>
      <c r="L807" s="187"/>
      <c r="M807" s="187"/>
      <c r="N807" s="187"/>
      <c r="O807" s="187"/>
      <c r="P807" s="187"/>
      <c r="Q807" s="187"/>
      <c r="R807" s="187"/>
      <c r="S807" s="188"/>
    </row>
    <row r="808" spans="2:19" ht="12.75">
      <c r="B808" s="185"/>
      <c r="C808" s="186"/>
      <c r="D808" s="187"/>
      <c r="E808" s="187"/>
      <c r="F808" s="187"/>
      <c r="G808" s="187"/>
      <c r="H808" s="187"/>
      <c r="I808" s="187"/>
      <c r="J808" s="187"/>
      <c r="K808" s="187"/>
      <c r="L808" s="187"/>
      <c r="M808" s="187"/>
      <c r="N808" s="187"/>
      <c r="O808" s="187"/>
      <c r="P808" s="187"/>
      <c r="Q808" s="187"/>
      <c r="R808" s="187"/>
      <c r="S808" s="188"/>
    </row>
    <row r="809" spans="2:19" ht="12.75">
      <c r="B809" s="185"/>
      <c r="C809" s="186"/>
      <c r="D809" s="187"/>
      <c r="E809" s="187"/>
      <c r="F809" s="187"/>
      <c r="G809" s="187"/>
      <c r="H809" s="187"/>
      <c r="I809" s="187"/>
      <c r="J809" s="187"/>
      <c r="K809" s="187"/>
      <c r="L809" s="187"/>
      <c r="M809" s="187"/>
      <c r="N809" s="187"/>
      <c r="O809" s="187"/>
      <c r="P809" s="187"/>
      <c r="Q809" s="187"/>
      <c r="R809" s="187"/>
      <c r="S809" s="188"/>
    </row>
    <row r="810" spans="2:19" ht="12.75">
      <c r="B810" s="185"/>
      <c r="C810" s="186"/>
      <c r="D810" s="187"/>
      <c r="E810" s="187"/>
      <c r="F810" s="187"/>
      <c r="G810" s="187"/>
      <c r="H810" s="187"/>
      <c r="I810" s="187"/>
      <c r="J810" s="187"/>
      <c r="K810" s="187"/>
      <c r="L810" s="187"/>
      <c r="M810" s="187"/>
      <c r="N810" s="187"/>
      <c r="O810" s="187"/>
      <c r="P810" s="187"/>
      <c r="Q810" s="187"/>
      <c r="R810" s="187"/>
      <c r="S810" s="188"/>
    </row>
    <row r="811" spans="2:19" ht="12.75">
      <c r="B811" s="185"/>
      <c r="C811" s="186"/>
      <c r="D811" s="187"/>
      <c r="E811" s="187"/>
      <c r="F811" s="187"/>
      <c r="G811" s="187"/>
      <c r="H811" s="187"/>
      <c r="I811" s="187"/>
      <c r="J811" s="187"/>
      <c r="K811" s="187"/>
      <c r="L811" s="187"/>
      <c r="M811" s="187"/>
      <c r="N811" s="187"/>
      <c r="O811" s="187"/>
      <c r="P811" s="187"/>
      <c r="Q811" s="187"/>
      <c r="R811" s="187"/>
      <c r="S811" s="188"/>
    </row>
    <row r="812" spans="2:19" ht="12.75">
      <c r="B812" s="185"/>
      <c r="C812" s="186"/>
      <c r="D812" s="187"/>
      <c r="E812" s="187"/>
      <c r="F812" s="187"/>
      <c r="G812" s="187"/>
      <c r="H812" s="187"/>
      <c r="I812" s="187"/>
      <c r="J812" s="187"/>
      <c r="K812" s="187"/>
      <c r="L812" s="187"/>
      <c r="M812" s="187"/>
      <c r="N812" s="187"/>
      <c r="O812" s="187"/>
      <c r="P812" s="187"/>
      <c r="Q812" s="187"/>
      <c r="R812" s="187"/>
      <c r="S812" s="188"/>
    </row>
    <row r="813" spans="2:19" ht="12.75">
      <c r="B813" s="185"/>
      <c r="C813" s="186"/>
      <c r="D813" s="187"/>
      <c r="E813" s="187"/>
      <c r="F813" s="187"/>
      <c r="G813" s="187"/>
      <c r="H813" s="187"/>
      <c r="I813" s="187"/>
      <c r="J813" s="187"/>
      <c r="K813" s="187"/>
      <c r="L813" s="187"/>
      <c r="M813" s="187"/>
      <c r="N813" s="187"/>
      <c r="O813" s="187"/>
      <c r="P813" s="187"/>
      <c r="Q813" s="187"/>
      <c r="R813" s="187"/>
      <c r="S813" s="188"/>
    </row>
    <row r="814" spans="2:19" ht="12.75">
      <c r="B814" s="185"/>
      <c r="C814" s="186"/>
      <c r="D814" s="187"/>
      <c r="E814" s="187"/>
      <c r="F814" s="187"/>
      <c r="G814" s="187"/>
      <c r="H814" s="187"/>
      <c r="I814" s="187"/>
      <c r="J814" s="187"/>
      <c r="K814" s="187"/>
      <c r="L814" s="187"/>
      <c r="M814" s="187"/>
      <c r="N814" s="187"/>
      <c r="O814" s="187"/>
      <c r="P814" s="187"/>
      <c r="Q814" s="187"/>
      <c r="R814" s="187"/>
      <c r="S814" s="188"/>
    </row>
    <row r="815" spans="2:19" ht="12.75">
      <c r="B815" s="185"/>
      <c r="C815" s="186"/>
      <c r="D815" s="187"/>
      <c r="E815" s="187"/>
      <c r="F815" s="187"/>
      <c r="G815" s="187"/>
      <c r="H815" s="187"/>
      <c r="I815" s="187"/>
      <c r="J815" s="187"/>
      <c r="K815" s="187"/>
      <c r="L815" s="187"/>
      <c r="M815" s="187"/>
      <c r="N815" s="187"/>
      <c r="O815" s="187"/>
      <c r="P815" s="187"/>
      <c r="Q815" s="187"/>
      <c r="R815" s="187"/>
      <c r="S815" s="188"/>
    </row>
    <row r="816" spans="2:19" ht="12.75">
      <c r="B816" s="185"/>
      <c r="C816" s="186"/>
      <c r="D816" s="187"/>
      <c r="E816" s="187"/>
      <c r="F816" s="187"/>
      <c r="G816" s="187"/>
      <c r="H816" s="187"/>
      <c r="I816" s="187"/>
      <c r="J816" s="187"/>
      <c r="K816" s="187"/>
      <c r="L816" s="187"/>
      <c r="M816" s="187"/>
      <c r="N816" s="187"/>
      <c r="O816" s="187"/>
      <c r="P816" s="187"/>
      <c r="Q816" s="187"/>
      <c r="R816" s="187"/>
      <c r="S816" s="188"/>
    </row>
    <row r="817" spans="2:19" ht="12.75">
      <c r="B817" s="185"/>
      <c r="C817" s="186"/>
      <c r="D817" s="187"/>
      <c r="E817" s="187"/>
      <c r="F817" s="187"/>
      <c r="G817" s="187"/>
      <c r="H817" s="187"/>
      <c r="I817" s="187"/>
      <c r="J817" s="187"/>
      <c r="K817" s="187"/>
      <c r="L817" s="187"/>
      <c r="M817" s="187"/>
      <c r="N817" s="187"/>
      <c r="O817" s="187"/>
      <c r="P817" s="187"/>
      <c r="Q817" s="187"/>
      <c r="R817" s="187"/>
      <c r="S817" s="188"/>
    </row>
    <row r="818" spans="2:19" ht="12.75">
      <c r="B818" s="185"/>
      <c r="C818" s="186"/>
      <c r="D818" s="187"/>
      <c r="E818" s="187"/>
      <c r="F818" s="187"/>
      <c r="G818" s="187"/>
      <c r="H818" s="187"/>
      <c r="I818" s="187"/>
      <c r="J818" s="187"/>
      <c r="K818" s="187"/>
      <c r="L818" s="187"/>
      <c r="M818" s="187"/>
      <c r="N818" s="187"/>
      <c r="O818" s="187"/>
      <c r="P818" s="187"/>
      <c r="Q818" s="187"/>
      <c r="R818" s="187"/>
      <c r="S818" s="188"/>
    </row>
    <row r="819" spans="2:19" ht="12.75">
      <c r="B819" s="185"/>
      <c r="C819" s="186"/>
      <c r="D819" s="187"/>
      <c r="E819" s="187"/>
      <c r="F819" s="187"/>
      <c r="G819" s="187"/>
      <c r="H819" s="187"/>
      <c r="I819" s="187"/>
      <c r="J819" s="187"/>
      <c r="K819" s="187"/>
      <c r="L819" s="187"/>
      <c r="M819" s="187"/>
      <c r="N819" s="187"/>
      <c r="O819" s="187"/>
      <c r="P819" s="187"/>
      <c r="Q819" s="187"/>
      <c r="R819" s="187"/>
      <c r="S819" s="188"/>
    </row>
    <row r="820" spans="2:19" ht="12.75">
      <c r="B820" s="185"/>
      <c r="C820" s="186"/>
      <c r="D820" s="187"/>
      <c r="E820" s="187"/>
      <c r="F820" s="187"/>
      <c r="G820" s="187"/>
      <c r="H820" s="187"/>
      <c r="I820" s="187"/>
      <c r="J820" s="187"/>
      <c r="K820" s="187"/>
      <c r="L820" s="187"/>
      <c r="M820" s="187"/>
      <c r="N820" s="187"/>
      <c r="O820" s="187"/>
      <c r="P820" s="187"/>
      <c r="Q820" s="187"/>
      <c r="R820" s="187"/>
      <c r="S820" s="188"/>
    </row>
    <row r="821" spans="2:19" ht="12.75">
      <c r="B821" s="185"/>
      <c r="C821" s="186"/>
      <c r="D821" s="187"/>
      <c r="E821" s="187"/>
      <c r="F821" s="187"/>
      <c r="G821" s="187"/>
      <c r="H821" s="187"/>
      <c r="I821" s="187"/>
      <c r="J821" s="187"/>
      <c r="K821" s="187"/>
      <c r="L821" s="187"/>
      <c r="M821" s="187"/>
      <c r="N821" s="187"/>
      <c r="O821" s="187"/>
      <c r="P821" s="187"/>
      <c r="Q821" s="187"/>
      <c r="R821" s="187"/>
      <c r="S821" s="188"/>
    </row>
    <row r="822" spans="2:19" ht="12.75">
      <c r="B822" s="185"/>
      <c r="C822" s="186"/>
      <c r="D822" s="187"/>
      <c r="E822" s="187"/>
      <c r="F822" s="187"/>
      <c r="G822" s="187"/>
      <c r="H822" s="187"/>
      <c r="I822" s="187"/>
      <c r="J822" s="187"/>
      <c r="K822" s="187"/>
      <c r="L822" s="187"/>
      <c r="M822" s="187"/>
      <c r="N822" s="187"/>
      <c r="O822" s="187"/>
      <c r="P822" s="187"/>
      <c r="Q822" s="187"/>
      <c r="R822" s="187"/>
      <c r="S822" s="188"/>
    </row>
    <row r="823" spans="2:19" ht="12.75">
      <c r="B823" s="185"/>
      <c r="C823" s="186"/>
      <c r="D823" s="187"/>
      <c r="E823" s="187"/>
      <c r="F823" s="187"/>
      <c r="G823" s="187"/>
      <c r="H823" s="187"/>
      <c r="I823" s="187"/>
      <c r="J823" s="187"/>
      <c r="K823" s="187"/>
      <c r="L823" s="187"/>
      <c r="M823" s="187"/>
      <c r="N823" s="187"/>
      <c r="O823" s="187"/>
      <c r="P823" s="187"/>
      <c r="Q823" s="187"/>
      <c r="R823" s="187"/>
      <c r="S823" s="188"/>
    </row>
    <row r="824" spans="2:19" ht="12.75">
      <c r="B824" s="185"/>
      <c r="C824" s="186"/>
      <c r="D824" s="187"/>
      <c r="E824" s="187"/>
      <c r="F824" s="187"/>
      <c r="G824" s="187"/>
      <c r="H824" s="187"/>
      <c r="I824" s="187"/>
      <c r="J824" s="187"/>
      <c r="K824" s="187"/>
      <c r="L824" s="187"/>
      <c r="M824" s="187"/>
      <c r="N824" s="187"/>
      <c r="O824" s="187"/>
      <c r="P824" s="187"/>
      <c r="Q824" s="187"/>
      <c r="R824" s="187"/>
      <c r="S824" s="188"/>
    </row>
    <row r="825" spans="2:19" ht="12.75">
      <c r="B825" s="185"/>
      <c r="C825" s="186"/>
      <c r="D825" s="187"/>
      <c r="E825" s="187"/>
      <c r="F825" s="187"/>
      <c r="G825" s="187"/>
      <c r="H825" s="187"/>
      <c r="I825" s="187"/>
      <c r="J825" s="187"/>
      <c r="K825" s="187"/>
      <c r="L825" s="187"/>
      <c r="M825" s="187"/>
      <c r="N825" s="187"/>
      <c r="O825" s="187"/>
      <c r="P825" s="187"/>
      <c r="Q825" s="187"/>
      <c r="R825" s="187"/>
      <c r="S825" s="188"/>
    </row>
    <row r="826" spans="2:19" ht="12.75">
      <c r="B826" s="185"/>
      <c r="C826" s="186"/>
      <c r="D826" s="187"/>
      <c r="E826" s="187"/>
      <c r="F826" s="187"/>
      <c r="G826" s="187"/>
      <c r="H826" s="187"/>
      <c r="I826" s="187"/>
      <c r="J826" s="187"/>
      <c r="K826" s="187"/>
      <c r="L826" s="187"/>
      <c r="M826" s="187"/>
      <c r="N826" s="187"/>
      <c r="O826" s="187"/>
      <c r="P826" s="187"/>
      <c r="Q826" s="187"/>
      <c r="R826" s="187"/>
      <c r="S826" s="188"/>
    </row>
    <row r="827" spans="2:19" ht="12.75">
      <c r="B827" s="185"/>
      <c r="C827" s="186"/>
      <c r="D827" s="187"/>
      <c r="E827" s="187"/>
      <c r="F827" s="187"/>
      <c r="G827" s="187"/>
      <c r="H827" s="187"/>
      <c r="I827" s="187"/>
      <c r="J827" s="187"/>
      <c r="K827" s="187"/>
      <c r="L827" s="187"/>
      <c r="M827" s="187"/>
      <c r="N827" s="187"/>
      <c r="O827" s="187"/>
      <c r="P827" s="187"/>
      <c r="Q827" s="187"/>
      <c r="R827" s="187"/>
      <c r="S827" s="188"/>
    </row>
    <row r="828" spans="2:19" ht="12.75">
      <c r="B828" s="185"/>
      <c r="C828" s="186"/>
      <c r="D828" s="187"/>
      <c r="E828" s="187"/>
      <c r="F828" s="187"/>
      <c r="G828" s="187"/>
      <c r="H828" s="187"/>
      <c r="I828" s="187"/>
      <c r="J828" s="187"/>
      <c r="K828" s="187"/>
      <c r="L828" s="187"/>
      <c r="M828" s="187"/>
      <c r="N828" s="187"/>
      <c r="O828" s="187"/>
      <c r="P828" s="187"/>
      <c r="Q828" s="187"/>
      <c r="R828" s="187"/>
      <c r="S828" s="188"/>
    </row>
    <row r="829" spans="2:19" ht="12.75">
      <c r="B829" s="185"/>
      <c r="C829" s="186"/>
      <c r="D829" s="187"/>
      <c r="E829" s="187"/>
      <c r="F829" s="187"/>
      <c r="G829" s="187"/>
      <c r="H829" s="187"/>
      <c r="I829" s="187"/>
      <c r="J829" s="187"/>
      <c r="K829" s="187"/>
      <c r="L829" s="187"/>
      <c r="M829" s="187"/>
      <c r="N829" s="187"/>
      <c r="O829" s="187"/>
      <c r="P829" s="187"/>
      <c r="Q829" s="187"/>
      <c r="R829" s="187"/>
      <c r="S829" s="188"/>
    </row>
    <row r="830" spans="2:19" ht="12.75">
      <c r="B830" s="185"/>
      <c r="C830" s="186"/>
      <c r="D830" s="187"/>
      <c r="E830" s="187"/>
      <c r="F830" s="187"/>
      <c r="G830" s="187"/>
      <c r="H830" s="187"/>
      <c r="I830" s="187"/>
      <c r="J830" s="187"/>
      <c r="K830" s="187"/>
      <c r="L830" s="187"/>
      <c r="M830" s="187"/>
      <c r="N830" s="187"/>
      <c r="O830" s="187"/>
      <c r="P830" s="187"/>
      <c r="Q830" s="187"/>
      <c r="R830" s="187"/>
      <c r="S830" s="188"/>
    </row>
    <row r="831" spans="2:19" ht="12.75">
      <c r="B831" s="185"/>
      <c r="C831" s="186"/>
      <c r="D831" s="187"/>
      <c r="E831" s="187"/>
      <c r="F831" s="187"/>
      <c r="G831" s="187"/>
      <c r="H831" s="187"/>
      <c r="I831" s="187"/>
      <c r="J831" s="187"/>
      <c r="K831" s="187"/>
      <c r="L831" s="187"/>
      <c r="M831" s="187"/>
      <c r="N831" s="187"/>
      <c r="O831" s="187"/>
      <c r="P831" s="187"/>
      <c r="Q831" s="187"/>
      <c r="R831" s="187"/>
      <c r="S831" s="188"/>
    </row>
    <row r="832" spans="2:19" ht="12.75">
      <c r="B832" s="185"/>
      <c r="C832" s="186"/>
      <c r="D832" s="187"/>
      <c r="E832" s="187"/>
      <c r="F832" s="187"/>
      <c r="G832" s="187"/>
      <c r="H832" s="187"/>
      <c r="I832" s="187"/>
      <c r="J832" s="187"/>
      <c r="K832" s="187"/>
      <c r="L832" s="187"/>
      <c r="M832" s="187"/>
      <c r="N832" s="187"/>
      <c r="O832" s="187"/>
      <c r="P832" s="187"/>
      <c r="Q832" s="187"/>
      <c r="R832" s="187"/>
      <c r="S832" s="188"/>
    </row>
    <row r="833" spans="2:19" ht="12.75">
      <c r="B833" s="185"/>
      <c r="C833" s="186"/>
      <c r="D833" s="187"/>
      <c r="E833" s="187"/>
      <c r="F833" s="187"/>
      <c r="G833" s="187"/>
      <c r="H833" s="187"/>
      <c r="I833" s="187"/>
      <c r="J833" s="187"/>
      <c r="K833" s="187"/>
      <c r="L833" s="187"/>
      <c r="M833" s="187"/>
      <c r="N833" s="187"/>
      <c r="O833" s="187"/>
      <c r="P833" s="187"/>
      <c r="Q833" s="187"/>
      <c r="R833" s="187"/>
      <c r="S833" s="188"/>
    </row>
    <row r="834" spans="2:19" ht="12.75">
      <c r="B834" s="185"/>
      <c r="C834" s="186"/>
      <c r="D834" s="187"/>
      <c r="E834" s="187"/>
      <c r="F834" s="187"/>
      <c r="G834" s="187"/>
      <c r="H834" s="187"/>
      <c r="I834" s="187"/>
      <c r="J834" s="187"/>
      <c r="K834" s="187"/>
      <c r="L834" s="187"/>
      <c r="M834" s="187"/>
      <c r="N834" s="187"/>
      <c r="O834" s="187"/>
      <c r="P834" s="187"/>
      <c r="Q834" s="187"/>
      <c r="R834" s="187"/>
      <c r="S834" s="188"/>
    </row>
    <row r="835" spans="2:19" ht="12.75">
      <c r="B835" s="185"/>
      <c r="C835" s="186"/>
      <c r="D835" s="187"/>
      <c r="E835" s="187"/>
      <c r="F835" s="187"/>
      <c r="G835" s="187"/>
      <c r="H835" s="187"/>
      <c r="I835" s="187"/>
      <c r="J835" s="187"/>
      <c r="K835" s="187"/>
      <c r="L835" s="187"/>
      <c r="M835" s="187"/>
      <c r="N835" s="187"/>
      <c r="O835" s="187"/>
      <c r="P835" s="187"/>
      <c r="Q835" s="187"/>
      <c r="R835" s="187"/>
      <c r="S835" s="188"/>
    </row>
    <row r="836" spans="2:19" ht="12.75">
      <c r="B836" s="185"/>
      <c r="C836" s="186"/>
      <c r="D836" s="187"/>
      <c r="E836" s="187"/>
      <c r="F836" s="187"/>
      <c r="G836" s="187"/>
      <c r="H836" s="187"/>
      <c r="I836" s="187"/>
      <c r="J836" s="187"/>
      <c r="K836" s="187"/>
      <c r="L836" s="187"/>
      <c r="M836" s="187"/>
      <c r="N836" s="187"/>
      <c r="O836" s="187"/>
      <c r="P836" s="187"/>
      <c r="Q836" s="187"/>
      <c r="R836" s="187"/>
      <c r="S836" s="188"/>
    </row>
    <row r="837" spans="2:19" ht="12.75">
      <c r="B837" s="185"/>
      <c r="C837" s="186"/>
      <c r="D837" s="187"/>
      <c r="E837" s="187"/>
      <c r="F837" s="187"/>
      <c r="G837" s="187"/>
      <c r="H837" s="187"/>
      <c r="I837" s="187"/>
      <c r="J837" s="187"/>
      <c r="K837" s="187"/>
      <c r="L837" s="187"/>
      <c r="M837" s="187"/>
      <c r="N837" s="187"/>
      <c r="O837" s="187"/>
      <c r="P837" s="187"/>
      <c r="Q837" s="187"/>
      <c r="R837" s="187"/>
      <c r="S837" s="188"/>
    </row>
    <row r="838" spans="2:19" ht="12.75">
      <c r="B838" s="185"/>
      <c r="C838" s="186"/>
      <c r="D838" s="187"/>
      <c r="E838" s="187"/>
      <c r="F838" s="187"/>
      <c r="G838" s="187"/>
      <c r="H838" s="187"/>
      <c r="I838" s="187"/>
      <c r="J838" s="187"/>
      <c r="K838" s="187"/>
      <c r="L838" s="187"/>
      <c r="M838" s="187"/>
      <c r="N838" s="187"/>
      <c r="O838" s="187"/>
      <c r="P838" s="187"/>
      <c r="Q838" s="187"/>
      <c r="R838" s="187"/>
      <c r="S838" s="188"/>
    </row>
    <row r="839" spans="2:19" ht="12.75">
      <c r="B839" s="185"/>
      <c r="C839" s="186"/>
      <c r="D839" s="187"/>
      <c r="E839" s="187"/>
      <c r="F839" s="187"/>
      <c r="G839" s="187"/>
      <c r="H839" s="187"/>
      <c r="I839" s="187"/>
      <c r="J839" s="187"/>
      <c r="K839" s="187"/>
      <c r="L839" s="187"/>
      <c r="M839" s="187"/>
      <c r="N839" s="187"/>
      <c r="O839" s="187"/>
      <c r="P839" s="187"/>
      <c r="Q839" s="187"/>
      <c r="R839" s="187"/>
      <c r="S839" s="188"/>
    </row>
    <row r="840" spans="2:19" ht="12.75">
      <c r="B840" s="185"/>
      <c r="C840" s="186"/>
      <c r="D840" s="187"/>
      <c r="E840" s="187"/>
      <c r="F840" s="187"/>
      <c r="G840" s="187"/>
      <c r="H840" s="187"/>
      <c r="I840" s="187"/>
      <c r="J840" s="187"/>
      <c r="K840" s="187"/>
      <c r="L840" s="187"/>
      <c r="M840" s="187"/>
      <c r="N840" s="187"/>
      <c r="O840" s="187"/>
      <c r="P840" s="187"/>
      <c r="Q840" s="187"/>
      <c r="R840" s="187"/>
      <c r="S840" s="188"/>
    </row>
    <row r="841" spans="2:19" ht="12.75">
      <c r="B841" s="185"/>
      <c r="C841" s="186"/>
      <c r="D841" s="187"/>
      <c r="E841" s="187"/>
      <c r="F841" s="187"/>
      <c r="G841" s="187"/>
      <c r="H841" s="187"/>
      <c r="I841" s="187"/>
      <c r="J841" s="187"/>
      <c r="K841" s="187"/>
      <c r="L841" s="187"/>
      <c r="M841" s="187"/>
      <c r="N841" s="187"/>
      <c r="O841" s="187"/>
      <c r="P841" s="187"/>
      <c r="Q841" s="187"/>
      <c r="R841" s="187"/>
      <c r="S841" s="188"/>
    </row>
    <row r="842" spans="2:19" ht="12.75">
      <c r="B842" s="185"/>
      <c r="C842" s="186"/>
      <c r="D842" s="187"/>
      <c r="E842" s="187"/>
      <c r="F842" s="187"/>
      <c r="G842" s="187"/>
      <c r="H842" s="187"/>
      <c r="I842" s="187"/>
      <c r="J842" s="187"/>
      <c r="K842" s="187"/>
      <c r="L842" s="187"/>
      <c r="M842" s="187"/>
      <c r="N842" s="187"/>
      <c r="O842" s="187"/>
      <c r="P842" s="187"/>
      <c r="Q842" s="187"/>
      <c r="R842" s="187"/>
      <c r="S842" s="188"/>
    </row>
    <row r="843" spans="2:19" ht="12.75">
      <c r="B843" s="185"/>
      <c r="C843" s="186"/>
      <c r="D843" s="187"/>
      <c r="E843" s="187"/>
      <c r="F843" s="187"/>
      <c r="G843" s="187"/>
      <c r="H843" s="187"/>
      <c r="I843" s="187"/>
      <c r="J843" s="187"/>
      <c r="K843" s="187"/>
      <c r="L843" s="187"/>
      <c r="M843" s="187"/>
      <c r="N843" s="187"/>
      <c r="O843" s="187"/>
      <c r="P843" s="187"/>
      <c r="Q843" s="187"/>
      <c r="R843" s="187"/>
      <c r="S843" s="188"/>
    </row>
    <row r="844" spans="2:19" ht="12.75">
      <c r="B844" s="185"/>
      <c r="C844" s="186"/>
      <c r="D844" s="187"/>
      <c r="E844" s="187"/>
      <c r="F844" s="187"/>
      <c r="G844" s="187"/>
      <c r="H844" s="187"/>
      <c r="I844" s="187"/>
      <c r="J844" s="187"/>
      <c r="K844" s="187"/>
      <c r="L844" s="187"/>
      <c r="M844" s="187"/>
      <c r="N844" s="187"/>
      <c r="O844" s="187"/>
      <c r="P844" s="187"/>
      <c r="Q844" s="187"/>
      <c r="R844" s="187"/>
      <c r="S844" s="188"/>
    </row>
    <row r="845" spans="2:19" ht="12.75">
      <c r="B845" s="185"/>
      <c r="C845" s="186"/>
      <c r="D845" s="187"/>
      <c r="E845" s="187"/>
      <c r="F845" s="187"/>
      <c r="G845" s="187"/>
      <c r="H845" s="187"/>
      <c r="I845" s="187"/>
      <c r="J845" s="187"/>
      <c r="K845" s="187"/>
      <c r="L845" s="187"/>
      <c r="M845" s="187"/>
      <c r="N845" s="187"/>
      <c r="O845" s="187"/>
      <c r="P845" s="187"/>
      <c r="Q845" s="187"/>
      <c r="R845" s="187"/>
      <c r="S845" s="188"/>
    </row>
    <row r="846" spans="2:19" ht="12.75">
      <c r="B846" s="185"/>
      <c r="C846" s="186"/>
      <c r="D846" s="187"/>
      <c r="E846" s="187"/>
      <c r="F846" s="187"/>
      <c r="G846" s="187"/>
      <c r="H846" s="187"/>
      <c r="I846" s="187"/>
      <c r="J846" s="187"/>
      <c r="K846" s="187"/>
      <c r="L846" s="187"/>
      <c r="M846" s="187"/>
      <c r="N846" s="187"/>
      <c r="O846" s="187"/>
      <c r="P846" s="187"/>
      <c r="Q846" s="187"/>
      <c r="R846" s="187"/>
      <c r="S846" s="188"/>
    </row>
    <row r="847" spans="2:19" ht="12.75">
      <c r="B847" s="185"/>
      <c r="C847" s="186"/>
      <c r="D847" s="187"/>
      <c r="E847" s="187"/>
      <c r="F847" s="187"/>
      <c r="G847" s="187"/>
      <c r="H847" s="187"/>
      <c r="I847" s="187"/>
      <c r="J847" s="187"/>
      <c r="K847" s="187"/>
      <c r="L847" s="187"/>
      <c r="M847" s="187"/>
      <c r="N847" s="187"/>
      <c r="O847" s="187"/>
      <c r="P847" s="187"/>
      <c r="Q847" s="187"/>
      <c r="R847" s="187"/>
      <c r="S847" s="188"/>
    </row>
    <row r="848" spans="2:19" ht="12.75">
      <c r="B848" s="185"/>
      <c r="C848" s="186"/>
      <c r="D848" s="187"/>
      <c r="E848" s="187"/>
      <c r="F848" s="187"/>
      <c r="G848" s="187"/>
      <c r="H848" s="187"/>
      <c r="I848" s="187"/>
      <c r="J848" s="187"/>
      <c r="K848" s="187"/>
      <c r="L848" s="187"/>
      <c r="M848" s="187"/>
      <c r="N848" s="187"/>
      <c r="O848" s="187"/>
      <c r="P848" s="187"/>
      <c r="Q848" s="187"/>
      <c r="R848" s="187"/>
      <c r="S848" s="188"/>
    </row>
    <row r="849" spans="2:19" ht="12.75">
      <c r="B849" s="185"/>
      <c r="C849" s="186"/>
      <c r="D849" s="187"/>
      <c r="E849" s="187"/>
      <c r="F849" s="187"/>
      <c r="G849" s="187"/>
      <c r="H849" s="187"/>
      <c r="I849" s="187"/>
      <c r="J849" s="187"/>
      <c r="K849" s="187"/>
      <c r="L849" s="187"/>
      <c r="M849" s="187"/>
      <c r="N849" s="187"/>
      <c r="O849" s="187"/>
      <c r="P849" s="187"/>
      <c r="Q849" s="187"/>
      <c r="R849" s="187"/>
      <c r="S849" s="188"/>
    </row>
    <row r="850" spans="2:19" ht="12.75">
      <c r="B850" s="185"/>
      <c r="C850" s="186"/>
      <c r="D850" s="187"/>
      <c r="E850" s="187"/>
      <c r="F850" s="187"/>
      <c r="G850" s="187"/>
      <c r="H850" s="187"/>
      <c r="I850" s="187"/>
      <c r="J850" s="187"/>
      <c r="K850" s="187"/>
      <c r="L850" s="187"/>
      <c r="M850" s="187"/>
      <c r="N850" s="187"/>
      <c r="O850" s="187"/>
      <c r="P850" s="187"/>
      <c r="Q850" s="187"/>
      <c r="R850" s="187"/>
      <c r="S850" s="188"/>
    </row>
    <row r="851" spans="2:19" ht="12.75">
      <c r="B851" s="185"/>
      <c r="C851" s="186"/>
      <c r="D851" s="187"/>
      <c r="E851" s="187"/>
      <c r="F851" s="187"/>
      <c r="G851" s="187"/>
      <c r="H851" s="187"/>
      <c r="I851" s="187"/>
      <c r="J851" s="187"/>
      <c r="K851" s="187"/>
      <c r="L851" s="187"/>
      <c r="M851" s="187"/>
      <c r="N851" s="187"/>
      <c r="O851" s="187"/>
      <c r="P851" s="187"/>
      <c r="Q851" s="187"/>
      <c r="R851" s="187"/>
      <c r="S851" s="188"/>
    </row>
    <row r="852" spans="2:19" ht="12.75">
      <c r="B852" s="185"/>
      <c r="C852" s="186"/>
      <c r="D852" s="187"/>
      <c r="E852" s="187"/>
      <c r="F852" s="187"/>
      <c r="G852" s="187"/>
      <c r="H852" s="187"/>
      <c r="I852" s="187"/>
      <c r="J852" s="187"/>
      <c r="K852" s="187"/>
      <c r="L852" s="187"/>
      <c r="M852" s="187"/>
      <c r="N852" s="187"/>
      <c r="O852" s="187"/>
      <c r="P852" s="187"/>
      <c r="Q852" s="187"/>
      <c r="R852" s="187"/>
      <c r="S852" s="188"/>
    </row>
    <row r="853" spans="2:19" ht="12.75">
      <c r="B853" s="185"/>
      <c r="C853" s="186"/>
      <c r="D853" s="187"/>
      <c r="E853" s="187"/>
      <c r="F853" s="187"/>
      <c r="G853" s="187"/>
      <c r="H853" s="187"/>
      <c r="I853" s="187"/>
      <c r="J853" s="187"/>
      <c r="K853" s="187"/>
      <c r="L853" s="187"/>
      <c r="M853" s="187"/>
      <c r="N853" s="187"/>
      <c r="O853" s="187"/>
      <c r="P853" s="187"/>
      <c r="Q853" s="187"/>
      <c r="R853" s="187"/>
      <c r="S853" s="188"/>
    </row>
    <row r="854" spans="2:19" ht="12.75">
      <c r="B854" s="185"/>
      <c r="C854" s="186"/>
      <c r="D854" s="187"/>
      <c r="E854" s="187"/>
      <c r="F854" s="187"/>
      <c r="G854" s="187"/>
      <c r="H854" s="187"/>
      <c r="I854" s="187"/>
      <c r="J854" s="187"/>
      <c r="K854" s="187"/>
      <c r="L854" s="187"/>
      <c r="M854" s="187"/>
      <c r="N854" s="187"/>
      <c r="O854" s="187"/>
      <c r="P854" s="187"/>
      <c r="Q854" s="187"/>
      <c r="R854" s="187"/>
      <c r="S854" s="188"/>
    </row>
    <row r="855" spans="2:19" ht="12.75">
      <c r="B855" s="185"/>
      <c r="C855" s="186"/>
      <c r="D855" s="187"/>
      <c r="E855" s="187"/>
      <c r="F855" s="187"/>
      <c r="G855" s="187"/>
      <c r="H855" s="187"/>
      <c r="I855" s="187"/>
      <c r="J855" s="187"/>
      <c r="K855" s="187"/>
      <c r="L855" s="187"/>
      <c r="M855" s="187"/>
      <c r="N855" s="187"/>
      <c r="O855" s="187"/>
      <c r="P855" s="187"/>
      <c r="Q855" s="187"/>
      <c r="R855" s="187"/>
      <c r="S855" s="188"/>
    </row>
    <row r="856" spans="2:19" ht="12.75">
      <c r="B856" s="185"/>
      <c r="C856" s="186"/>
      <c r="D856" s="187"/>
      <c r="E856" s="187"/>
      <c r="F856" s="187"/>
      <c r="G856" s="187"/>
      <c r="H856" s="187"/>
      <c r="I856" s="187"/>
      <c r="J856" s="187"/>
      <c r="K856" s="187"/>
      <c r="L856" s="187"/>
      <c r="M856" s="187"/>
      <c r="N856" s="187"/>
      <c r="O856" s="187"/>
      <c r="P856" s="187"/>
      <c r="Q856" s="187"/>
      <c r="R856" s="187"/>
      <c r="S856" s="188"/>
    </row>
    <row r="857" spans="2:19" ht="12.75">
      <c r="B857" s="185"/>
      <c r="C857" s="186"/>
      <c r="D857" s="187"/>
      <c r="E857" s="187"/>
      <c r="F857" s="187"/>
      <c r="G857" s="187"/>
      <c r="H857" s="187"/>
      <c r="I857" s="187"/>
      <c r="J857" s="187"/>
      <c r="K857" s="187"/>
      <c r="L857" s="187"/>
      <c r="M857" s="187"/>
      <c r="N857" s="187"/>
      <c r="O857" s="187"/>
      <c r="P857" s="187"/>
      <c r="Q857" s="187"/>
      <c r="R857" s="187"/>
      <c r="S857" s="188"/>
    </row>
    <row r="858" spans="2:19" ht="12.75">
      <c r="B858" s="185"/>
      <c r="C858" s="186"/>
      <c r="D858" s="187"/>
      <c r="E858" s="187"/>
      <c r="F858" s="187"/>
      <c r="G858" s="187"/>
      <c r="H858" s="187"/>
      <c r="I858" s="187"/>
      <c r="J858" s="187"/>
      <c r="K858" s="187"/>
      <c r="L858" s="187"/>
      <c r="M858" s="187"/>
      <c r="N858" s="187"/>
      <c r="O858" s="187"/>
      <c r="P858" s="187"/>
      <c r="Q858" s="187"/>
      <c r="R858" s="187"/>
      <c r="S858" s="188"/>
    </row>
    <row r="859" spans="2:19" ht="12.75">
      <c r="B859" s="185"/>
      <c r="C859" s="186"/>
      <c r="D859" s="187"/>
      <c r="E859" s="187"/>
      <c r="F859" s="187"/>
      <c r="G859" s="187"/>
      <c r="H859" s="187"/>
      <c r="I859" s="187"/>
      <c r="J859" s="187"/>
      <c r="K859" s="187"/>
      <c r="L859" s="187"/>
      <c r="M859" s="187"/>
      <c r="N859" s="187"/>
      <c r="O859" s="187"/>
      <c r="P859" s="187"/>
      <c r="Q859" s="187"/>
      <c r="R859" s="187"/>
      <c r="S859" s="188"/>
    </row>
    <row r="860" spans="2:19" ht="12.75">
      <c r="B860" s="185"/>
      <c r="C860" s="186"/>
      <c r="D860" s="187"/>
      <c r="E860" s="187"/>
      <c r="F860" s="187"/>
      <c r="G860" s="187"/>
      <c r="H860" s="187"/>
      <c r="I860" s="187"/>
      <c r="J860" s="187"/>
      <c r="K860" s="187"/>
      <c r="L860" s="187"/>
      <c r="M860" s="187"/>
      <c r="N860" s="187"/>
      <c r="O860" s="187"/>
      <c r="P860" s="187"/>
      <c r="Q860" s="187"/>
      <c r="R860" s="187"/>
      <c r="S860" s="188"/>
    </row>
    <row r="861" spans="2:19" ht="12.75">
      <c r="B861" s="185"/>
      <c r="C861" s="186"/>
      <c r="D861" s="187"/>
      <c r="E861" s="187"/>
      <c r="F861" s="187"/>
      <c r="G861" s="187"/>
      <c r="H861" s="187"/>
      <c r="I861" s="187"/>
      <c r="J861" s="187"/>
      <c r="K861" s="187"/>
      <c r="L861" s="187"/>
      <c r="M861" s="187"/>
      <c r="N861" s="187"/>
      <c r="O861" s="187"/>
      <c r="P861" s="187"/>
      <c r="Q861" s="187"/>
      <c r="R861" s="187"/>
      <c r="S861" s="188"/>
    </row>
    <row r="862" spans="2:19" ht="12.75">
      <c r="B862" s="185"/>
      <c r="C862" s="186"/>
      <c r="D862" s="187"/>
      <c r="E862" s="187"/>
      <c r="F862" s="187"/>
      <c r="G862" s="187"/>
      <c r="H862" s="187"/>
      <c r="I862" s="187"/>
      <c r="J862" s="187"/>
      <c r="K862" s="187"/>
      <c r="L862" s="187"/>
      <c r="M862" s="187"/>
      <c r="N862" s="187"/>
      <c r="O862" s="187"/>
      <c r="P862" s="187"/>
      <c r="Q862" s="187"/>
      <c r="R862" s="187"/>
      <c r="S862" s="188"/>
    </row>
    <row r="863" spans="2:19" ht="12.75">
      <c r="B863" s="185"/>
      <c r="C863" s="186"/>
      <c r="D863" s="187"/>
      <c r="E863" s="187"/>
      <c r="F863" s="187"/>
      <c r="G863" s="187"/>
      <c r="H863" s="187"/>
      <c r="I863" s="187"/>
      <c r="J863" s="187"/>
      <c r="K863" s="187"/>
      <c r="L863" s="187"/>
      <c r="M863" s="187"/>
      <c r="N863" s="187"/>
      <c r="O863" s="187"/>
      <c r="P863" s="187"/>
      <c r="Q863" s="187"/>
      <c r="R863" s="187"/>
      <c r="S863" s="188"/>
    </row>
    <row r="864" spans="2:19" ht="12.75">
      <c r="B864" s="185"/>
      <c r="C864" s="186"/>
      <c r="D864" s="187"/>
      <c r="E864" s="187"/>
      <c r="F864" s="187"/>
      <c r="G864" s="187"/>
      <c r="H864" s="187"/>
      <c r="I864" s="187"/>
      <c r="J864" s="187"/>
      <c r="K864" s="187"/>
      <c r="L864" s="187"/>
      <c r="M864" s="187"/>
      <c r="N864" s="187"/>
      <c r="O864" s="187"/>
      <c r="P864" s="187"/>
      <c r="Q864" s="187"/>
      <c r="R864" s="187"/>
      <c r="S864" s="188"/>
    </row>
    <row r="865" spans="2:19" ht="12.75">
      <c r="B865" s="185"/>
      <c r="C865" s="186"/>
      <c r="D865" s="187"/>
      <c r="E865" s="187"/>
      <c r="F865" s="187"/>
      <c r="G865" s="187"/>
      <c r="H865" s="187"/>
      <c r="I865" s="187"/>
      <c r="J865" s="187"/>
      <c r="K865" s="187"/>
      <c r="L865" s="187"/>
      <c r="M865" s="187"/>
      <c r="N865" s="187"/>
      <c r="O865" s="187"/>
      <c r="P865" s="187"/>
      <c r="Q865" s="187"/>
      <c r="R865" s="187"/>
      <c r="S865" s="188"/>
    </row>
    <row r="866" spans="2:19" ht="12.75">
      <c r="B866" s="185"/>
      <c r="C866" s="186"/>
      <c r="D866" s="187"/>
      <c r="E866" s="187"/>
      <c r="F866" s="187"/>
      <c r="G866" s="187"/>
      <c r="H866" s="187"/>
      <c r="I866" s="187"/>
      <c r="J866" s="187"/>
      <c r="K866" s="187"/>
      <c r="L866" s="187"/>
      <c r="M866" s="187"/>
      <c r="N866" s="187"/>
      <c r="O866" s="187"/>
      <c r="P866" s="187"/>
      <c r="Q866" s="187"/>
      <c r="R866" s="187"/>
      <c r="S866" s="188"/>
    </row>
    <row r="867" spans="2:19" ht="12.75">
      <c r="B867" s="185"/>
      <c r="C867" s="186"/>
      <c r="D867" s="187"/>
      <c r="E867" s="187"/>
      <c r="F867" s="187"/>
      <c r="G867" s="187"/>
      <c r="H867" s="187"/>
      <c r="I867" s="187"/>
      <c r="J867" s="187"/>
      <c r="K867" s="187"/>
      <c r="L867" s="187"/>
      <c r="M867" s="187"/>
      <c r="N867" s="187"/>
      <c r="O867" s="187"/>
      <c r="P867" s="187"/>
      <c r="Q867" s="187"/>
      <c r="R867" s="187"/>
      <c r="S867" s="188"/>
    </row>
    <row r="868" spans="2:19" ht="12.75">
      <c r="B868" s="185"/>
      <c r="C868" s="186"/>
      <c r="D868" s="187"/>
      <c r="E868" s="187"/>
      <c r="F868" s="187"/>
      <c r="G868" s="187"/>
      <c r="H868" s="187"/>
      <c r="I868" s="187"/>
      <c r="J868" s="187"/>
      <c r="K868" s="187"/>
      <c r="L868" s="187"/>
      <c r="M868" s="187"/>
      <c r="N868" s="187"/>
      <c r="O868" s="187"/>
      <c r="P868" s="187"/>
      <c r="Q868" s="187"/>
      <c r="R868" s="187"/>
      <c r="S868" s="188"/>
    </row>
    <row r="869" spans="2:19" ht="12.75">
      <c r="B869" s="185"/>
      <c r="C869" s="186"/>
      <c r="D869" s="187"/>
      <c r="E869" s="187"/>
      <c r="F869" s="187"/>
      <c r="G869" s="187"/>
      <c r="H869" s="187"/>
      <c r="I869" s="187"/>
      <c r="J869" s="187"/>
      <c r="K869" s="187"/>
      <c r="L869" s="187"/>
      <c r="M869" s="187"/>
      <c r="N869" s="187"/>
      <c r="O869" s="187"/>
      <c r="P869" s="187"/>
      <c r="Q869" s="187"/>
      <c r="R869" s="187"/>
      <c r="S869" s="188"/>
    </row>
    <row r="870" spans="2:19" ht="12.75">
      <c r="B870" s="185"/>
      <c r="C870" s="186"/>
      <c r="D870" s="187"/>
      <c r="E870" s="187"/>
      <c r="F870" s="187"/>
      <c r="G870" s="187"/>
      <c r="H870" s="187"/>
      <c r="I870" s="187"/>
      <c r="J870" s="187"/>
      <c r="K870" s="187"/>
      <c r="L870" s="187"/>
      <c r="M870" s="187"/>
      <c r="N870" s="187"/>
      <c r="O870" s="187"/>
      <c r="P870" s="187"/>
      <c r="Q870" s="187"/>
      <c r="R870" s="187"/>
      <c r="S870" s="188"/>
    </row>
    <row r="871" spans="2:19" ht="12.75">
      <c r="B871" s="185"/>
      <c r="C871" s="186"/>
      <c r="D871" s="187"/>
      <c r="E871" s="187"/>
      <c r="F871" s="187"/>
      <c r="G871" s="187"/>
      <c r="H871" s="187"/>
      <c r="I871" s="187"/>
      <c r="J871" s="187"/>
      <c r="K871" s="187"/>
      <c r="L871" s="187"/>
      <c r="M871" s="187"/>
      <c r="N871" s="187"/>
      <c r="O871" s="187"/>
      <c r="P871" s="187"/>
      <c r="Q871" s="187"/>
      <c r="R871" s="187"/>
      <c r="S871" s="188"/>
    </row>
    <row r="872" spans="2:19" ht="12.75">
      <c r="B872" s="185"/>
      <c r="C872" s="186"/>
      <c r="D872" s="187"/>
      <c r="E872" s="187"/>
      <c r="F872" s="187"/>
      <c r="G872" s="187"/>
      <c r="H872" s="187"/>
      <c r="I872" s="187"/>
      <c r="J872" s="187"/>
      <c r="K872" s="187"/>
      <c r="L872" s="187"/>
      <c r="M872" s="187"/>
      <c r="N872" s="187"/>
      <c r="O872" s="187"/>
      <c r="P872" s="187"/>
      <c r="Q872" s="187"/>
      <c r="R872" s="187"/>
      <c r="S872" s="188"/>
    </row>
    <row r="873" spans="2:19" ht="12.75">
      <c r="B873" s="185"/>
      <c r="C873" s="186"/>
      <c r="D873" s="187"/>
      <c r="E873" s="187"/>
      <c r="F873" s="187"/>
      <c r="G873" s="187"/>
      <c r="H873" s="187"/>
      <c r="I873" s="187"/>
      <c r="J873" s="187"/>
      <c r="K873" s="187"/>
      <c r="L873" s="187"/>
      <c r="M873" s="187"/>
      <c r="N873" s="187"/>
      <c r="O873" s="187"/>
      <c r="P873" s="187"/>
      <c r="Q873" s="187"/>
      <c r="R873" s="187"/>
      <c r="S873" s="188"/>
    </row>
    <row r="874" spans="2:19" ht="12.75">
      <c r="B874" s="185"/>
      <c r="C874" s="186"/>
      <c r="D874" s="187"/>
      <c r="E874" s="187"/>
      <c r="F874" s="187"/>
      <c r="G874" s="187"/>
      <c r="H874" s="187"/>
      <c r="I874" s="187"/>
      <c r="J874" s="187"/>
      <c r="K874" s="187"/>
      <c r="L874" s="187"/>
      <c r="M874" s="187"/>
      <c r="N874" s="187"/>
      <c r="O874" s="187"/>
      <c r="P874" s="187"/>
      <c r="Q874" s="187"/>
      <c r="R874" s="187"/>
      <c r="S874" s="188"/>
    </row>
    <row r="875" spans="2:19" ht="12.75">
      <c r="B875" s="185"/>
      <c r="C875" s="186"/>
      <c r="D875" s="187"/>
      <c r="E875" s="187"/>
      <c r="F875" s="187"/>
      <c r="G875" s="187"/>
      <c r="H875" s="187"/>
      <c r="I875" s="187"/>
      <c r="J875" s="187"/>
      <c r="K875" s="187"/>
      <c r="L875" s="187"/>
      <c r="M875" s="187"/>
      <c r="N875" s="187"/>
      <c r="O875" s="187"/>
      <c r="P875" s="187"/>
      <c r="Q875" s="187"/>
      <c r="R875" s="187"/>
      <c r="S875" s="188"/>
    </row>
    <row r="876" spans="2:19" ht="12.75">
      <c r="B876" s="185"/>
      <c r="C876" s="186"/>
      <c r="D876" s="187"/>
      <c r="E876" s="187"/>
      <c r="F876" s="187"/>
      <c r="G876" s="187"/>
      <c r="H876" s="187"/>
      <c r="I876" s="187"/>
      <c r="J876" s="187"/>
      <c r="K876" s="187"/>
      <c r="L876" s="187"/>
      <c r="M876" s="187"/>
      <c r="N876" s="187"/>
      <c r="O876" s="187"/>
      <c r="P876" s="187"/>
      <c r="Q876" s="187"/>
      <c r="R876" s="187"/>
      <c r="S876" s="188"/>
    </row>
    <row r="877" spans="2:19" ht="12.75">
      <c r="B877" s="185"/>
      <c r="C877" s="186"/>
      <c r="D877" s="187"/>
      <c r="E877" s="187"/>
      <c r="F877" s="187"/>
      <c r="G877" s="187"/>
      <c r="H877" s="187"/>
      <c r="I877" s="187"/>
      <c r="J877" s="187"/>
      <c r="K877" s="187"/>
      <c r="L877" s="187"/>
      <c r="M877" s="187"/>
      <c r="N877" s="187"/>
      <c r="O877" s="187"/>
      <c r="P877" s="187"/>
      <c r="Q877" s="187"/>
      <c r="R877" s="187"/>
      <c r="S877" s="188"/>
    </row>
    <row r="878" spans="2:19" ht="12.75">
      <c r="B878" s="185"/>
      <c r="C878" s="186"/>
      <c r="D878" s="187"/>
      <c r="E878" s="187"/>
      <c r="F878" s="187"/>
      <c r="G878" s="187"/>
      <c r="H878" s="187"/>
      <c r="I878" s="187"/>
      <c r="J878" s="187"/>
      <c r="K878" s="187"/>
      <c r="L878" s="187"/>
      <c r="M878" s="187"/>
      <c r="N878" s="187"/>
      <c r="O878" s="187"/>
      <c r="P878" s="187"/>
      <c r="Q878" s="187"/>
      <c r="R878" s="187"/>
      <c r="S878" s="188"/>
    </row>
    <row r="879" spans="2:19" ht="12.75">
      <c r="B879" s="185"/>
      <c r="C879" s="186"/>
      <c r="D879" s="187"/>
      <c r="E879" s="187"/>
      <c r="F879" s="187"/>
      <c r="G879" s="187"/>
      <c r="H879" s="187"/>
      <c r="I879" s="187"/>
      <c r="J879" s="187"/>
      <c r="K879" s="187"/>
      <c r="L879" s="187"/>
      <c r="M879" s="187"/>
      <c r="N879" s="187"/>
      <c r="O879" s="187"/>
      <c r="P879" s="187"/>
      <c r="Q879" s="187"/>
      <c r="R879" s="187"/>
      <c r="S879" s="188"/>
    </row>
    <row r="880" spans="2:19" ht="12.75">
      <c r="B880" s="185"/>
      <c r="C880" s="186"/>
      <c r="D880" s="187"/>
      <c r="E880" s="187"/>
      <c r="F880" s="187"/>
      <c r="G880" s="187"/>
      <c r="H880" s="187"/>
      <c r="I880" s="187"/>
      <c r="J880" s="187"/>
      <c r="K880" s="187"/>
      <c r="L880" s="187"/>
      <c r="M880" s="187"/>
      <c r="N880" s="187"/>
      <c r="O880" s="187"/>
      <c r="P880" s="187"/>
      <c r="Q880" s="187"/>
      <c r="R880" s="187"/>
      <c r="S880" s="188"/>
    </row>
    <row r="881" spans="2:19" ht="12.75">
      <c r="B881" s="185"/>
      <c r="C881" s="186"/>
      <c r="D881" s="187"/>
      <c r="E881" s="187"/>
      <c r="F881" s="187"/>
      <c r="G881" s="187"/>
      <c r="H881" s="187"/>
      <c r="I881" s="187"/>
      <c r="J881" s="187"/>
      <c r="K881" s="187"/>
      <c r="L881" s="187"/>
      <c r="M881" s="187"/>
      <c r="N881" s="187"/>
      <c r="O881" s="187"/>
      <c r="P881" s="187"/>
      <c r="Q881" s="187"/>
      <c r="R881" s="187"/>
      <c r="S881" s="188"/>
    </row>
    <row r="882" spans="2:19" ht="12.75">
      <c r="B882" s="185"/>
      <c r="C882" s="186"/>
      <c r="D882" s="187"/>
      <c r="E882" s="187"/>
      <c r="F882" s="187"/>
      <c r="G882" s="187"/>
      <c r="H882" s="187"/>
      <c r="I882" s="187"/>
      <c r="J882" s="187"/>
      <c r="K882" s="187"/>
      <c r="L882" s="187"/>
      <c r="M882" s="187"/>
      <c r="N882" s="187"/>
      <c r="O882" s="187"/>
      <c r="P882" s="187"/>
      <c r="Q882" s="187"/>
      <c r="R882" s="187"/>
      <c r="S882" s="188"/>
    </row>
    <row r="883" spans="2:19" ht="12.75">
      <c r="B883" s="185"/>
      <c r="C883" s="186"/>
      <c r="D883" s="187"/>
      <c r="E883" s="187"/>
      <c r="F883" s="187"/>
      <c r="G883" s="187"/>
      <c r="H883" s="187"/>
      <c r="I883" s="187"/>
      <c r="J883" s="187"/>
      <c r="K883" s="187"/>
      <c r="L883" s="187"/>
      <c r="M883" s="187"/>
      <c r="N883" s="187"/>
      <c r="O883" s="187"/>
      <c r="P883" s="187"/>
      <c r="Q883" s="187"/>
      <c r="R883" s="187"/>
      <c r="S883" s="188"/>
    </row>
    <row r="884" spans="2:19" ht="12.75">
      <c r="B884" s="185"/>
      <c r="C884" s="186"/>
      <c r="D884" s="187"/>
      <c r="E884" s="187"/>
      <c r="F884" s="187"/>
      <c r="G884" s="187"/>
      <c r="H884" s="187"/>
      <c r="I884" s="187"/>
      <c r="J884" s="187"/>
      <c r="K884" s="187"/>
      <c r="L884" s="187"/>
      <c r="M884" s="187"/>
      <c r="N884" s="187"/>
      <c r="O884" s="187"/>
      <c r="P884" s="187"/>
      <c r="Q884" s="187"/>
      <c r="R884" s="187"/>
      <c r="S884" s="188"/>
    </row>
    <row r="885" spans="2:19" ht="12.75">
      <c r="B885" s="185"/>
      <c r="C885" s="186"/>
      <c r="D885" s="187"/>
      <c r="E885" s="187"/>
      <c r="F885" s="187"/>
      <c r="G885" s="187"/>
      <c r="H885" s="187"/>
      <c r="I885" s="187"/>
      <c r="J885" s="187"/>
      <c r="K885" s="187"/>
      <c r="L885" s="187"/>
      <c r="M885" s="187"/>
      <c r="N885" s="187"/>
      <c r="O885" s="187"/>
      <c r="P885" s="187"/>
      <c r="Q885" s="187"/>
      <c r="R885" s="187"/>
      <c r="S885" s="188"/>
    </row>
    <row r="886" spans="2:19" ht="12.75">
      <c r="B886" s="185"/>
      <c r="C886" s="186"/>
      <c r="D886" s="187"/>
      <c r="E886" s="187"/>
      <c r="F886" s="187"/>
      <c r="G886" s="187"/>
      <c r="H886" s="187"/>
      <c r="I886" s="187"/>
      <c r="J886" s="187"/>
      <c r="K886" s="187"/>
      <c r="L886" s="187"/>
      <c r="M886" s="187"/>
      <c r="N886" s="187"/>
      <c r="O886" s="187"/>
      <c r="P886" s="187"/>
      <c r="Q886" s="187"/>
      <c r="R886" s="187"/>
      <c r="S886" s="188"/>
    </row>
    <row r="887" spans="2:19" ht="12.75">
      <c r="B887" s="185"/>
      <c r="C887" s="186"/>
      <c r="D887" s="187"/>
      <c r="E887" s="187"/>
      <c r="F887" s="187"/>
      <c r="G887" s="187"/>
      <c r="H887" s="187"/>
      <c r="I887" s="187"/>
      <c r="J887" s="187"/>
      <c r="K887" s="187"/>
      <c r="L887" s="187"/>
      <c r="M887" s="187"/>
      <c r="N887" s="187"/>
      <c r="O887" s="187"/>
      <c r="P887" s="187"/>
      <c r="Q887" s="187"/>
      <c r="R887" s="187"/>
      <c r="S887" s="188"/>
    </row>
    <row r="888" spans="2:19" ht="12.75">
      <c r="B888" s="185"/>
      <c r="C888" s="186"/>
      <c r="D888" s="187"/>
      <c r="E888" s="187"/>
      <c r="F888" s="187"/>
      <c r="G888" s="187"/>
      <c r="H888" s="187"/>
      <c r="I888" s="187"/>
      <c r="J888" s="187"/>
      <c r="K888" s="187"/>
      <c r="L888" s="187"/>
      <c r="M888" s="187"/>
      <c r="N888" s="187"/>
      <c r="O888" s="187"/>
      <c r="P888" s="187"/>
      <c r="Q888" s="187"/>
      <c r="R888" s="187"/>
      <c r="S888" s="188"/>
    </row>
    <row r="889" spans="2:19" ht="12.75">
      <c r="B889" s="185"/>
      <c r="C889" s="186"/>
      <c r="D889" s="187"/>
      <c r="E889" s="187"/>
      <c r="F889" s="187"/>
      <c r="G889" s="187"/>
      <c r="H889" s="187"/>
      <c r="I889" s="187"/>
      <c r="J889" s="187"/>
      <c r="K889" s="187"/>
      <c r="L889" s="187"/>
      <c r="M889" s="187"/>
      <c r="N889" s="187"/>
      <c r="O889" s="187"/>
      <c r="P889" s="187"/>
      <c r="Q889" s="187"/>
      <c r="R889" s="187"/>
      <c r="S889" s="188"/>
    </row>
    <row r="890" spans="2:19" ht="12.75">
      <c r="B890" s="185"/>
      <c r="C890" s="186"/>
      <c r="D890" s="187"/>
      <c r="E890" s="187"/>
      <c r="F890" s="187"/>
      <c r="G890" s="187"/>
      <c r="H890" s="187"/>
      <c r="I890" s="187"/>
      <c r="J890" s="187"/>
      <c r="K890" s="187"/>
      <c r="L890" s="187"/>
      <c r="M890" s="187"/>
      <c r="N890" s="187"/>
      <c r="O890" s="187"/>
      <c r="P890" s="187"/>
      <c r="Q890" s="187"/>
      <c r="R890" s="187"/>
      <c r="S890" s="188"/>
    </row>
    <row r="891" spans="2:19" ht="12.75">
      <c r="B891" s="185"/>
      <c r="C891" s="186"/>
      <c r="D891" s="187"/>
      <c r="E891" s="187"/>
      <c r="F891" s="187"/>
      <c r="G891" s="187"/>
      <c r="H891" s="187"/>
      <c r="I891" s="187"/>
      <c r="J891" s="187"/>
      <c r="K891" s="187"/>
      <c r="L891" s="187"/>
      <c r="M891" s="187"/>
      <c r="N891" s="187"/>
      <c r="O891" s="187"/>
      <c r="P891" s="187"/>
      <c r="Q891" s="187"/>
      <c r="R891" s="187"/>
      <c r="S891" s="188"/>
    </row>
    <row r="892" spans="2:19" ht="12.75">
      <c r="B892" s="185"/>
      <c r="C892" s="186"/>
      <c r="D892" s="187"/>
      <c r="E892" s="187"/>
      <c r="F892" s="187"/>
      <c r="G892" s="187"/>
      <c r="H892" s="187"/>
      <c r="I892" s="187"/>
      <c r="J892" s="187"/>
      <c r="K892" s="187"/>
      <c r="L892" s="187"/>
      <c r="M892" s="187"/>
      <c r="N892" s="187"/>
      <c r="O892" s="187"/>
      <c r="P892" s="187"/>
      <c r="Q892" s="187"/>
      <c r="R892" s="187"/>
      <c r="S892" s="188"/>
    </row>
    <row r="893" spans="2:19" ht="12.75">
      <c r="B893" s="185"/>
      <c r="C893" s="186"/>
      <c r="D893" s="187"/>
      <c r="E893" s="187"/>
      <c r="F893" s="187"/>
      <c r="G893" s="187"/>
      <c r="H893" s="187"/>
      <c r="I893" s="187"/>
      <c r="J893" s="187"/>
      <c r="K893" s="187"/>
      <c r="L893" s="187"/>
      <c r="M893" s="187"/>
      <c r="N893" s="187"/>
      <c r="O893" s="187"/>
      <c r="P893" s="187"/>
      <c r="Q893" s="187"/>
      <c r="R893" s="187"/>
      <c r="S893" s="188"/>
    </row>
    <row r="894" spans="2:19" ht="12.75">
      <c r="B894" s="185"/>
      <c r="C894" s="186"/>
      <c r="D894" s="187"/>
      <c r="E894" s="187"/>
      <c r="F894" s="187"/>
      <c r="G894" s="187"/>
      <c r="H894" s="187"/>
      <c r="I894" s="187"/>
      <c r="J894" s="187"/>
      <c r="K894" s="187"/>
      <c r="L894" s="187"/>
      <c r="M894" s="187"/>
      <c r="N894" s="187"/>
      <c r="O894" s="187"/>
      <c r="P894" s="187"/>
      <c r="Q894" s="187"/>
      <c r="R894" s="187"/>
      <c r="S894" s="188"/>
    </row>
    <row r="895" spans="2:19" ht="12.75">
      <c r="B895" s="185"/>
      <c r="C895" s="186"/>
      <c r="D895" s="187"/>
      <c r="E895" s="187"/>
      <c r="F895" s="187"/>
      <c r="G895" s="187"/>
      <c r="H895" s="187"/>
      <c r="I895" s="187"/>
      <c r="J895" s="187"/>
      <c r="K895" s="187"/>
      <c r="L895" s="187"/>
      <c r="M895" s="187"/>
      <c r="N895" s="187"/>
      <c r="O895" s="187"/>
      <c r="P895" s="187"/>
      <c r="Q895" s="187"/>
      <c r="R895" s="187"/>
      <c r="S895" s="188"/>
    </row>
    <row r="896" spans="2:19" ht="12.75">
      <c r="B896" s="185"/>
      <c r="C896" s="186"/>
      <c r="D896" s="187"/>
      <c r="E896" s="187"/>
      <c r="F896" s="187"/>
      <c r="G896" s="187"/>
      <c r="H896" s="187"/>
      <c r="I896" s="187"/>
      <c r="J896" s="187"/>
      <c r="K896" s="187"/>
      <c r="L896" s="187"/>
      <c r="M896" s="187"/>
      <c r="N896" s="187"/>
      <c r="O896" s="187"/>
      <c r="P896" s="187"/>
      <c r="Q896" s="187"/>
      <c r="R896" s="187"/>
      <c r="S896" s="188"/>
    </row>
    <row r="897" spans="2:19" ht="12.75">
      <c r="B897" s="185"/>
      <c r="C897" s="186"/>
      <c r="D897" s="187"/>
      <c r="E897" s="187"/>
      <c r="F897" s="187"/>
      <c r="G897" s="187"/>
      <c r="H897" s="187"/>
      <c r="I897" s="187"/>
      <c r="J897" s="187"/>
      <c r="K897" s="187"/>
      <c r="L897" s="187"/>
      <c r="M897" s="187"/>
      <c r="N897" s="187"/>
      <c r="O897" s="187"/>
      <c r="P897" s="187"/>
      <c r="Q897" s="187"/>
      <c r="R897" s="187"/>
      <c r="S897" s="188"/>
    </row>
    <row r="898" spans="2:19" ht="12.75">
      <c r="B898" s="185"/>
      <c r="C898" s="186"/>
      <c r="D898" s="187"/>
      <c r="E898" s="187"/>
      <c r="F898" s="187"/>
      <c r="G898" s="187"/>
      <c r="H898" s="187"/>
      <c r="I898" s="187"/>
      <c r="J898" s="187"/>
      <c r="K898" s="187"/>
      <c r="L898" s="187"/>
      <c r="M898" s="187"/>
      <c r="N898" s="187"/>
      <c r="O898" s="187"/>
      <c r="P898" s="187"/>
      <c r="Q898" s="187"/>
      <c r="R898" s="187"/>
      <c r="S898" s="188"/>
    </row>
    <row r="899" spans="2:19" ht="12.75">
      <c r="B899" s="185"/>
      <c r="C899" s="186"/>
      <c r="D899" s="187"/>
      <c r="E899" s="187"/>
      <c r="F899" s="187"/>
      <c r="G899" s="187"/>
      <c r="H899" s="187"/>
      <c r="I899" s="187"/>
      <c r="J899" s="187"/>
      <c r="K899" s="187"/>
      <c r="L899" s="187"/>
      <c r="M899" s="187"/>
      <c r="N899" s="187"/>
      <c r="O899" s="187"/>
      <c r="P899" s="187"/>
      <c r="Q899" s="187"/>
      <c r="R899" s="187"/>
      <c r="S899" s="188"/>
    </row>
    <row r="900" spans="2:19" ht="12.75">
      <c r="B900" s="185"/>
      <c r="C900" s="186"/>
      <c r="D900" s="187"/>
      <c r="E900" s="187"/>
      <c r="F900" s="187"/>
      <c r="G900" s="187"/>
      <c r="H900" s="187"/>
      <c r="I900" s="187"/>
      <c r="J900" s="187"/>
      <c r="K900" s="187"/>
      <c r="L900" s="187"/>
      <c r="M900" s="187"/>
      <c r="N900" s="187"/>
      <c r="O900" s="187"/>
      <c r="P900" s="187"/>
      <c r="Q900" s="187"/>
      <c r="R900" s="187"/>
      <c r="S900" s="188"/>
    </row>
    <row r="901" spans="2:19" ht="12.75">
      <c r="B901" s="185"/>
      <c r="C901" s="186"/>
      <c r="D901" s="187"/>
      <c r="E901" s="187"/>
      <c r="F901" s="187"/>
      <c r="G901" s="187"/>
      <c r="H901" s="187"/>
      <c r="I901" s="187"/>
      <c r="J901" s="187"/>
      <c r="K901" s="187"/>
      <c r="L901" s="187"/>
      <c r="M901" s="187"/>
      <c r="N901" s="187"/>
      <c r="O901" s="187"/>
      <c r="P901" s="187"/>
      <c r="Q901" s="187"/>
      <c r="R901" s="187"/>
      <c r="S901" s="188"/>
    </row>
    <row r="902" spans="2:19" ht="12.75">
      <c r="B902" s="185"/>
      <c r="C902" s="186"/>
      <c r="D902" s="187"/>
      <c r="E902" s="187"/>
      <c r="F902" s="187"/>
      <c r="G902" s="187"/>
      <c r="H902" s="187"/>
      <c r="I902" s="187"/>
      <c r="J902" s="187"/>
      <c r="K902" s="187"/>
      <c r="L902" s="187"/>
      <c r="M902" s="187"/>
      <c r="N902" s="187"/>
      <c r="O902" s="187"/>
      <c r="P902" s="187"/>
      <c r="Q902" s="187"/>
      <c r="R902" s="187"/>
      <c r="S902" s="188"/>
    </row>
    <row r="903" spans="2:19" ht="12.75">
      <c r="B903" s="185"/>
      <c r="C903" s="186"/>
      <c r="D903" s="187"/>
      <c r="E903" s="187"/>
      <c r="F903" s="187"/>
      <c r="G903" s="187"/>
      <c r="H903" s="187"/>
      <c r="I903" s="187"/>
      <c r="J903" s="187"/>
      <c r="K903" s="187"/>
      <c r="L903" s="187"/>
      <c r="M903" s="187"/>
      <c r="N903" s="187"/>
      <c r="O903" s="187"/>
      <c r="P903" s="187"/>
      <c r="Q903" s="187"/>
      <c r="R903" s="187"/>
      <c r="S903" s="188"/>
    </row>
    <row r="904" spans="2:19" ht="12.75">
      <c r="B904" s="185"/>
      <c r="C904" s="186"/>
      <c r="D904" s="187"/>
      <c r="E904" s="187"/>
      <c r="F904" s="187"/>
      <c r="G904" s="187"/>
      <c r="H904" s="187"/>
      <c r="I904" s="187"/>
      <c r="J904" s="187"/>
      <c r="K904" s="187"/>
      <c r="L904" s="187"/>
      <c r="M904" s="187"/>
      <c r="N904" s="187"/>
      <c r="O904" s="187"/>
      <c r="P904" s="187"/>
      <c r="Q904" s="187"/>
      <c r="R904" s="187"/>
      <c r="S904" s="188"/>
    </row>
    <row r="905" spans="2:19" ht="12.75">
      <c r="B905" s="185"/>
      <c r="C905" s="186"/>
      <c r="D905" s="187"/>
      <c r="E905" s="187"/>
      <c r="F905" s="187"/>
      <c r="G905" s="187"/>
      <c r="H905" s="187"/>
      <c r="I905" s="187"/>
      <c r="J905" s="187"/>
      <c r="K905" s="187"/>
      <c r="L905" s="187"/>
      <c r="M905" s="187"/>
      <c r="N905" s="187"/>
      <c r="O905" s="187"/>
      <c r="P905" s="187"/>
      <c r="Q905" s="187"/>
      <c r="R905" s="187"/>
      <c r="S905" s="188"/>
    </row>
    <row r="906" spans="2:19" ht="12.75">
      <c r="B906" s="185"/>
      <c r="C906" s="186"/>
      <c r="D906" s="187"/>
      <c r="E906" s="187"/>
      <c r="F906" s="187"/>
      <c r="G906" s="187"/>
      <c r="H906" s="187"/>
      <c r="I906" s="187"/>
      <c r="J906" s="187"/>
      <c r="K906" s="187"/>
      <c r="L906" s="187"/>
      <c r="M906" s="187"/>
      <c r="N906" s="187"/>
      <c r="O906" s="187"/>
      <c r="P906" s="187"/>
      <c r="Q906" s="187"/>
      <c r="R906" s="187"/>
      <c r="S906" s="188"/>
    </row>
    <row r="907" spans="2:19" ht="12.75">
      <c r="B907" s="185"/>
      <c r="C907" s="186"/>
      <c r="D907" s="187"/>
      <c r="E907" s="187"/>
      <c r="F907" s="187"/>
      <c r="G907" s="187"/>
      <c r="H907" s="187"/>
      <c r="I907" s="187"/>
      <c r="J907" s="187"/>
      <c r="K907" s="187"/>
      <c r="L907" s="187"/>
      <c r="M907" s="187"/>
      <c r="N907" s="187"/>
      <c r="O907" s="187"/>
      <c r="P907" s="187"/>
      <c r="Q907" s="187"/>
      <c r="R907" s="187"/>
      <c r="S907" s="188"/>
    </row>
    <row r="908" spans="2:19" ht="12.75">
      <c r="B908" s="185"/>
      <c r="C908" s="186"/>
      <c r="D908" s="187"/>
      <c r="E908" s="187"/>
      <c r="F908" s="187"/>
      <c r="G908" s="187"/>
      <c r="H908" s="187"/>
      <c r="I908" s="187"/>
      <c r="J908" s="187"/>
      <c r="K908" s="187"/>
      <c r="L908" s="187"/>
      <c r="M908" s="187"/>
      <c r="N908" s="187"/>
      <c r="O908" s="187"/>
      <c r="P908" s="187"/>
      <c r="Q908" s="187"/>
      <c r="R908" s="187"/>
      <c r="S908" s="188"/>
    </row>
    <row r="909" spans="2:19" ht="12.75">
      <c r="B909" s="185"/>
      <c r="C909" s="186"/>
      <c r="D909" s="187"/>
      <c r="E909" s="187"/>
      <c r="F909" s="187"/>
      <c r="G909" s="187"/>
      <c r="H909" s="187"/>
      <c r="I909" s="187"/>
      <c r="J909" s="187"/>
      <c r="K909" s="187"/>
      <c r="L909" s="187"/>
      <c r="M909" s="187"/>
      <c r="N909" s="187"/>
      <c r="O909" s="187"/>
      <c r="P909" s="187"/>
      <c r="Q909" s="187"/>
      <c r="R909" s="187"/>
      <c r="S909" s="188"/>
    </row>
    <row r="910" spans="2:19" ht="12.75">
      <c r="B910" s="185"/>
      <c r="C910" s="186"/>
      <c r="D910" s="187"/>
      <c r="E910" s="187"/>
      <c r="F910" s="187"/>
      <c r="G910" s="187"/>
      <c r="H910" s="187"/>
      <c r="I910" s="187"/>
      <c r="J910" s="187"/>
      <c r="K910" s="187"/>
      <c r="L910" s="187"/>
      <c r="M910" s="187"/>
      <c r="N910" s="187"/>
      <c r="O910" s="187"/>
      <c r="P910" s="187"/>
      <c r="Q910" s="187"/>
      <c r="R910" s="187"/>
      <c r="S910" s="188"/>
    </row>
    <row r="911" spans="2:19" ht="12.75">
      <c r="B911" s="185"/>
      <c r="C911" s="186"/>
      <c r="D911" s="187"/>
      <c r="E911" s="187"/>
      <c r="F911" s="187"/>
      <c r="G911" s="187"/>
      <c r="H911" s="187"/>
      <c r="I911" s="187"/>
      <c r="J911" s="187"/>
      <c r="K911" s="187"/>
      <c r="L911" s="187"/>
      <c r="M911" s="187"/>
      <c r="N911" s="187"/>
      <c r="O911" s="187"/>
      <c r="P911" s="187"/>
      <c r="Q911" s="187"/>
      <c r="R911" s="187"/>
      <c r="S911" s="188"/>
    </row>
    <row r="912" spans="2:19" ht="12.75">
      <c r="B912" s="185"/>
      <c r="C912" s="186"/>
      <c r="D912" s="187"/>
      <c r="E912" s="187"/>
      <c r="F912" s="187"/>
      <c r="G912" s="187"/>
      <c r="H912" s="187"/>
      <c r="I912" s="187"/>
      <c r="J912" s="187"/>
      <c r="K912" s="187"/>
      <c r="L912" s="187"/>
      <c r="M912" s="187"/>
      <c r="N912" s="187"/>
      <c r="O912" s="187"/>
      <c r="P912" s="187"/>
      <c r="Q912" s="187"/>
      <c r="R912" s="187"/>
      <c r="S912" s="188"/>
    </row>
    <row r="913" spans="2:19" ht="12.75">
      <c r="B913" s="185"/>
      <c r="C913" s="186"/>
      <c r="D913" s="187"/>
      <c r="E913" s="187"/>
      <c r="F913" s="187"/>
      <c r="G913" s="187"/>
      <c r="H913" s="187"/>
      <c r="I913" s="187"/>
      <c r="J913" s="187"/>
      <c r="K913" s="187"/>
      <c r="L913" s="187"/>
      <c r="M913" s="187"/>
      <c r="N913" s="187"/>
      <c r="O913" s="187"/>
      <c r="P913" s="187"/>
      <c r="Q913" s="187"/>
      <c r="R913" s="187"/>
      <c r="S913" s="188"/>
    </row>
    <row r="914" spans="2:19" ht="12.75">
      <c r="B914" s="185"/>
      <c r="C914" s="186"/>
      <c r="D914" s="187"/>
      <c r="E914" s="187"/>
      <c r="F914" s="187"/>
      <c r="G914" s="187"/>
      <c r="H914" s="187"/>
      <c r="I914" s="187"/>
      <c r="J914" s="187"/>
      <c r="K914" s="187"/>
      <c r="L914" s="187"/>
      <c r="M914" s="187"/>
      <c r="N914" s="187"/>
      <c r="O914" s="187"/>
      <c r="P914" s="187"/>
      <c r="Q914" s="187"/>
      <c r="R914" s="187"/>
      <c r="S914" s="188"/>
    </row>
    <row r="915" spans="2:19" ht="12.75">
      <c r="B915" s="185"/>
      <c r="C915" s="186"/>
      <c r="D915" s="187"/>
      <c r="E915" s="187"/>
      <c r="F915" s="187"/>
      <c r="G915" s="187"/>
      <c r="H915" s="187"/>
      <c r="I915" s="187"/>
      <c r="J915" s="187"/>
      <c r="K915" s="187"/>
      <c r="L915" s="187"/>
      <c r="M915" s="187"/>
      <c r="N915" s="187"/>
      <c r="O915" s="187"/>
      <c r="P915" s="187"/>
      <c r="Q915" s="187"/>
      <c r="R915" s="187"/>
      <c r="S915" s="188"/>
    </row>
    <row r="916" spans="2:19" ht="12.75">
      <c r="B916" s="185"/>
      <c r="C916" s="186"/>
      <c r="D916" s="187"/>
      <c r="E916" s="187"/>
      <c r="F916" s="187"/>
      <c r="G916" s="187"/>
      <c r="H916" s="187"/>
      <c r="I916" s="187"/>
      <c r="J916" s="187"/>
      <c r="K916" s="187"/>
      <c r="L916" s="187"/>
      <c r="M916" s="187"/>
      <c r="N916" s="187"/>
      <c r="O916" s="187"/>
      <c r="P916" s="187"/>
      <c r="Q916" s="187"/>
      <c r="R916" s="187"/>
      <c r="S916" s="188"/>
    </row>
    <row r="917" spans="2:19" ht="12.75">
      <c r="B917" s="185"/>
      <c r="C917" s="186"/>
      <c r="D917" s="187"/>
      <c r="E917" s="187"/>
      <c r="F917" s="187"/>
      <c r="G917" s="187"/>
      <c r="H917" s="187"/>
      <c r="I917" s="187"/>
      <c r="J917" s="187"/>
      <c r="K917" s="187"/>
      <c r="L917" s="187"/>
      <c r="M917" s="187"/>
      <c r="N917" s="187"/>
      <c r="O917" s="187"/>
      <c r="P917" s="187"/>
      <c r="Q917" s="187"/>
      <c r="R917" s="187"/>
      <c r="S917" s="188"/>
    </row>
    <row r="918" spans="2:19" ht="12.75">
      <c r="B918" s="185"/>
      <c r="C918" s="186"/>
      <c r="D918" s="187"/>
      <c r="E918" s="187"/>
      <c r="F918" s="187"/>
      <c r="G918" s="187"/>
      <c r="H918" s="187"/>
      <c r="I918" s="187"/>
      <c r="J918" s="187"/>
      <c r="K918" s="187"/>
      <c r="L918" s="187"/>
      <c r="M918" s="187"/>
      <c r="N918" s="187"/>
      <c r="O918" s="187"/>
      <c r="P918" s="187"/>
      <c r="Q918" s="187"/>
      <c r="R918" s="187"/>
      <c r="S918" s="188"/>
    </row>
    <row r="919" spans="2:19" ht="12.75">
      <c r="B919" s="185"/>
      <c r="C919" s="186"/>
      <c r="D919" s="187"/>
      <c r="E919" s="187"/>
      <c r="F919" s="187"/>
      <c r="G919" s="187"/>
      <c r="H919" s="187"/>
      <c r="I919" s="187"/>
      <c r="J919" s="187"/>
      <c r="K919" s="187"/>
      <c r="L919" s="187"/>
      <c r="M919" s="187"/>
      <c r="N919" s="187"/>
      <c r="O919" s="187"/>
      <c r="P919" s="187"/>
      <c r="Q919" s="187"/>
      <c r="R919" s="187"/>
      <c r="S919" s="188"/>
    </row>
    <row r="920" spans="2:19" ht="12.75">
      <c r="B920" s="185"/>
      <c r="C920" s="186"/>
      <c r="D920" s="187"/>
      <c r="E920" s="187"/>
      <c r="F920" s="187"/>
      <c r="G920" s="187"/>
      <c r="H920" s="187"/>
      <c r="I920" s="187"/>
      <c r="J920" s="187"/>
      <c r="K920" s="187"/>
      <c r="L920" s="187"/>
      <c r="M920" s="187"/>
      <c r="N920" s="187"/>
      <c r="O920" s="187"/>
      <c r="P920" s="187"/>
      <c r="Q920" s="187"/>
      <c r="R920" s="187"/>
      <c r="S920" s="188"/>
    </row>
    <row r="921" spans="2:19" ht="12.75">
      <c r="B921" s="185"/>
      <c r="C921" s="186"/>
      <c r="D921" s="187"/>
      <c r="E921" s="187"/>
      <c r="F921" s="187"/>
      <c r="G921" s="187"/>
      <c r="H921" s="187"/>
      <c r="I921" s="187"/>
      <c r="J921" s="187"/>
      <c r="K921" s="187"/>
      <c r="L921" s="187"/>
      <c r="M921" s="187"/>
      <c r="N921" s="187"/>
      <c r="O921" s="187"/>
      <c r="P921" s="187"/>
      <c r="Q921" s="187"/>
      <c r="R921" s="187"/>
      <c r="S921" s="188"/>
    </row>
    <row r="922" spans="2:19" ht="12.75">
      <c r="B922" s="185"/>
      <c r="C922" s="186"/>
      <c r="D922" s="187"/>
      <c r="E922" s="187"/>
      <c r="F922" s="187"/>
      <c r="G922" s="187"/>
      <c r="H922" s="187"/>
      <c r="I922" s="187"/>
      <c r="J922" s="187"/>
      <c r="K922" s="187"/>
      <c r="L922" s="187"/>
      <c r="M922" s="187"/>
      <c r="N922" s="187"/>
      <c r="O922" s="187"/>
      <c r="P922" s="187"/>
      <c r="Q922" s="187"/>
      <c r="R922" s="187"/>
      <c r="S922" s="188"/>
    </row>
    <row r="923" spans="2:19" ht="12.75">
      <c r="B923" s="185"/>
      <c r="C923" s="186"/>
      <c r="D923" s="187"/>
      <c r="E923" s="187"/>
      <c r="F923" s="187"/>
      <c r="G923" s="187"/>
      <c r="H923" s="187"/>
      <c r="I923" s="187"/>
      <c r="J923" s="187"/>
      <c r="K923" s="187"/>
      <c r="L923" s="187"/>
      <c r="M923" s="187"/>
      <c r="N923" s="187"/>
      <c r="O923" s="187"/>
      <c r="P923" s="187"/>
      <c r="Q923" s="187"/>
      <c r="R923" s="187"/>
      <c r="S923" s="188"/>
    </row>
    <row r="924" spans="2:19" ht="12.75">
      <c r="B924" s="185"/>
      <c r="C924" s="186"/>
      <c r="D924" s="187"/>
      <c r="E924" s="187"/>
      <c r="F924" s="187"/>
      <c r="G924" s="187"/>
      <c r="H924" s="187"/>
      <c r="I924" s="187"/>
      <c r="J924" s="187"/>
      <c r="K924" s="187"/>
      <c r="L924" s="187"/>
      <c r="M924" s="187"/>
      <c r="N924" s="187"/>
      <c r="O924" s="187"/>
      <c r="P924" s="187"/>
      <c r="Q924" s="187"/>
      <c r="R924" s="187"/>
      <c r="S924" s="188"/>
    </row>
    <row r="925" spans="2:19" ht="12.75">
      <c r="B925" s="185"/>
      <c r="C925" s="186"/>
      <c r="D925" s="187"/>
      <c r="E925" s="187"/>
      <c r="F925" s="187"/>
      <c r="G925" s="187"/>
      <c r="H925" s="187"/>
      <c r="I925" s="187"/>
      <c r="J925" s="187"/>
      <c r="K925" s="187"/>
      <c r="L925" s="187"/>
      <c r="M925" s="187"/>
      <c r="N925" s="187"/>
      <c r="O925" s="187"/>
      <c r="P925" s="187"/>
      <c r="Q925" s="187"/>
      <c r="R925" s="187"/>
      <c r="S925" s="188"/>
    </row>
    <row r="926" spans="2:19" ht="12.75">
      <c r="B926" s="185"/>
      <c r="C926" s="186"/>
      <c r="D926" s="187"/>
      <c r="E926" s="187"/>
      <c r="F926" s="187"/>
      <c r="G926" s="187"/>
      <c r="H926" s="187"/>
      <c r="I926" s="187"/>
      <c r="J926" s="187"/>
      <c r="K926" s="187"/>
      <c r="L926" s="187"/>
      <c r="M926" s="187"/>
      <c r="N926" s="187"/>
      <c r="O926" s="187"/>
      <c r="P926" s="187"/>
      <c r="Q926" s="187"/>
      <c r="R926" s="187"/>
      <c r="S926" s="188"/>
    </row>
    <row r="927" spans="2:19" ht="12.75">
      <c r="B927" s="185"/>
      <c r="C927" s="186"/>
      <c r="D927" s="187"/>
      <c r="E927" s="187"/>
      <c r="F927" s="187"/>
      <c r="G927" s="187"/>
      <c r="H927" s="187"/>
      <c r="I927" s="187"/>
      <c r="J927" s="187"/>
      <c r="K927" s="187"/>
      <c r="L927" s="187"/>
      <c r="M927" s="187"/>
      <c r="N927" s="187"/>
      <c r="O927" s="187"/>
      <c r="P927" s="187"/>
      <c r="Q927" s="187"/>
      <c r="R927" s="187"/>
      <c r="S927" s="188"/>
    </row>
    <row r="928" spans="2:19" ht="12.75">
      <c r="B928" s="185"/>
      <c r="C928" s="186"/>
      <c r="D928" s="187"/>
      <c r="E928" s="187"/>
      <c r="F928" s="187"/>
      <c r="G928" s="187"/>
      <c r="H928" s="187"/>
      <c r="I928" s="187"/>
      <c r="J928" s="187"/>
      <c r="K928" s="187"/>
      <c r="L928" s="187"/>
      <c r="M928" s="187"/>
      <c r="N928" s="187"/>
      <c r="O928" s="187"/>
      <c r="P928" s="187"/>
      <c r="Q928" s="187"/>
      <c r="R928" s="187"/>
      <c r="S928" s="188"/>
    </row>
    <row r="929" spans="2:19" ht="12.75">
      <c r="B929" s="185"/>
      <c r="C929" s="186"/>
      <c r="D929" s="187"/>
      <c r="E929" s="187"/>
      <c r="F929" s="187"/>
      <c r="G929" s="187"/>
      <c r="H929" s="187"/>
      <c r="I929" s="187"/>
      <c r="J929" s="187"/>
      <c r="K929" s="187"/>
      <c r="L929" s="187"/>
      <c r="M929" s="187"/>
      <c r="N929" s="187"/>
      <c r="O929" s="187"/>
      <c r="P929" s="187"/>
      <c r="Q929" s="187"/>
      <c r="R929" s="187"/>
      <c r="S929" s="188"/>
    </row>
    <row r="930" spans="2:19" ht="12.75">
      <c r="B930" s="185"/>
      <c r="C930" s="186"/>
      <c r="D930" s="187"/>
      <c r="E930" s="187"/>
      <c r="F930" s="187"/>
      <c r="G930" s="187"/>
      <c r="H930" s="187"/>
      <c r="I930" s="187"/>
      <c r="J930" s="187"/>
      <c r="K930" s="187"/>
      <c r="L930" s="187"/>
      <c r="M930" s="187"/>
      <c r="N930" s="187"/>
      <c r="O930" s="187"/>
      <c r="P930" s="187"/>
      <c r="Q930" s="187"/>
      <c r="R930" s="187"/>
      <c r="S930" s="188"/>
    </row>
    <row r="931" spans="2:19" ht="12.75">
      <c r="B931" s="185"/>
      <c r="C931" s="186"/>
      <c r="D931" s="187"/>
      <c r="E931" s="187"/>
      <c r="F931" s="187"/>
      <c r="G931" s="187"/>
      <c r="H931" s="187"/>
      <c r="I931" s="187"/>
      <c r="J931" s="187"/>
      <c r="K931" s="187"/>
      <c r="L931" s="187"/>
      <c r="M931" s="187"/>
      <c r="N931" s="187"/>
      <c r="O931" s="187"/>
      <c r="P931" s="187"/>
      <c r="Q931" s="187"/>
      <c r="R931" s="187"/>
      <c r="S931" s="188"/>
    </row>
    <row r="932" spans="2:19" ht="12.75">
      <c r="B932" s="185"/>
      <c r="C932" s="186"/>
      <c r="D932" s="187"/>
      <c r="E932" s="187"/>
      <c r="F932" s="187"/>
      <c r="G932" s="187"/>
      <c r="H932" s="187"/>
      <c r="I932" s="187"/>
      <c r="J932" s="187"/>
      <c r="K932" s="187"/>
      <c r="L932" s="187"/>
      <c r="M932" s="187"/>
      <c r="N932" s="187"/>
      <c r="O932" s="187"/>
      <c r="P932" s="187"/>
      <c r="Q932" s="187"/>
      <c r="R932" s="187"/>
      <c r="S932" s="188"/>
    </row>
    <row r="933" spans="2:19" ht="12.75">
      <c r="B933" s="185"/>
      <c r="C933" s="186"/>
      <c r="D933" s="187"/>
      <c r="E933" s="187"/>
      <c r="F933" s="187"/>
      <c r="G933" s="187"/>
      <c r="H933" s="187"/>
      <c r="I933" s="187"/>
      <c r="J933" s="187"/>
      <c r="K933" s="187"/>
      <c r="L933" s="187"/>
      <c r="M933" s="187"/>
      <c r="N933" s="187"/>
      <c r="O933" s="187"/>
      <c r="P933" s="187"/>
      <c r="Q933" s="187"/>
      <c r="R933" s="187"/>
      <c r="S933" s="188"/>
    </row>
    <row r="934" spans="2:19" ht="12.75">
      <c r="B934" s="185"/>
      <c r="C934" s="186"/>
      <c r="D934" s="187"/>
      <c r="E934" s="187"/>
      <c r="F934" s="187"/>
      <c r="G934" s="187"/>
      <c r="H934" s="187"/>
      <c r="I934" s="187"/>
      <c r="J934" s="187"/>
      <c r="K934" s="187"/>
      <c r="L934" s="187"/>
      <c r="M934" s="187"/>
      <c r="N934" s="187"/>
      <c r="O934" s="187"/>
      <c r="P934" s="187"/>
      <c r="Q934" s="187"/>
      <c r="R934" s="187"/>
      <c r="S934" s="188"/>
    </row>
    <row r="935" spans="2:19" ht="12.75">
      <c r="B935" s="185"/>
      <c r="C935" s="186"/>
      <c r="D935" s="187"/>
      <c r="E935" s="187"/>
      <c r="F935" s="187"/>
      <c r="G935" s="187"/>
      <c r="H935" s="187"/>
      <c r="I935" s="187"/>
      <c r="J935" s="187"/>
      <c r="K935" s="187"/>
      <c r="L935" s="187"/>
      <c r="M935" s="187"/>
      <c r="N935" s="187"/>
      <c r="O935" s="187"/>
      <c r="P935" s="187"/>
      <c r="Q935" s="187"/>
      <c r="R935" s="187"/>
      <c r="S935" s="188"/>
    </row>
    <row r="936" spans="2:19" ht="12.75">
      <c r="B936" s="185"/>
      <c r="C936" s="186"/>
      <c r="D936" s="187"/>
      <c r="E936" s="187"/>
      <c r="F936" s="187"/>
      <c r="G936" s="187"/>
      <c r="H936" s="187"/>
      <c r="I936" s="187"/>
      <c r="J936" s="187"/>
      <c r="K936" s="187"/>
      <c r="L936" s="187"/>
      <c r="M936" s="187"/>
      <c r="N936" s="187"/>
      <c r="O936" s="187"/>
      <c r="P936" s="187"/>
      <c r="Q936" s="187"/>
      <c r="R936" s="187"/>
      <c r="S936" s="188"/>
    </row>
    <row r="937" spans="2:19" ht="12.75">
      <c r="B937" s="185"/>
      <c r="C937" s="186"/>
      <c r="D937" s="187"/>
      <c r="E937" s="187"/>
      <c r="F937" s="187"/>
      <c r="G937" s="187"/>
      <c r="H937" s="187"/>
      <c r="I937" s="187"/>
      <c r="J937" s="187"/>
      <c r="K937" s="187"/>
      <c r="L937" s="187"/>
      <c r="M937" s="187"/>
      <c r="N937" s="187"/>
      <c r="O937" s="187"/>
      <c r="P937" s="187"/>
      <c r="Q937" s="187"/>
      <c r="R937" s="187"/>
      <c r="S937" s="188"/>
    </row>
    <row r="938" spans="2:19" ht="12.75">
      <c r="B938" s="185"/>
      <c r="C938" s="186"/>
      <c r="D938" s="187"/>
      <c r="E938" s="187"/>
      <c r="F938" s="187"/>
      <c r="G938" s="187"/>
      <c r="H938" s="187"/>
      <c r="I938" s="187"/>
      <c r="J938" s="187"/>
      <c r="K938" s="187"/>
      <c r="L938" s="187"/>
      <c r="M938" s="187"/>
      <c r="N938" s="187"/>
      <c r="O938" s="187"/>
      <c r="P938" s="187"/>
      <c r="Q938" s="187"/>
      <c r="R938" s="187"/>
      <c r="S938" s="188"/>
    </row>
    <row r="939" spans="2:19" ht="12.75">
      <c r="B939" s="185"/>
      <c r="C939" s="186"/>
      <c r="D939" s="187"/>
      <c r="E939" s="187"/>
      <c r="F939" s="187"/>
      <c r="G939" s="187"/>
      <c r="H939" s="187"/>
      <c r="I939" s="187"/>
      <c r="J939" s="187"/>
      <c r="K939" s="187"/>
      <c r="L939" s="187"/>
      <c r="M939" s="187"/>
      <c r="N939" s="187"/>
      <c r="O939" s="187"/>
      <c r="P939" s="187"/>
      <c r="Q939" s="187"/>
      <c r="R939" s="187"/>
      <c r="S939" s="188"/>
    </row>
    <row r="940" spans="2:19" ht="12.75">
      <c r="B940" s="185"/>
      <c r="C940" s="186"/>
      <c r="D940" s="187"/>
      <c r="E940" s="187"/>
      <c r="F940" s="187"/>
      <c r="G940" s="187"/>
      <c r="H940" s="187"/>
      <c r="I940" s="187"/>
      <c r="J940" s="187"/>
      <c r="K940" s="187"/>
      <c r="L940" s="187"/>
      <c r="M940" s="187"/>
      <c r="N940" s="187"/>
      <c r="O940" s="187"/>
      <c r="P940" s="187"/>
      <c r="Q940" s="187"/>
      <c r="R940" s="187"/>
      <c r="S940" s="188"/>
    </row>
    <row r="941" spans="2:19" ht="12.75">
      <c r="B941" s="185"/>
      <c r="C941" s="186"/>
      <c r="D941" s="187"/>
      <c r="E941" s="187"/>
      <c r="F941" s="187"/>
      <c r="G941" s="187"/>
      <c r="H941" s="187"/>
      <c r="I941" s="187"/>
      <c r="J941" s="187"/>
      <c r="K941" s="187"/>
      <c r="L941" s="187"/>
      <c r="M941" s="187"/>
      <c r="N941" s="187"/>
      <c r="O941" s="187"/>
      <c r="P941" s="187"/>
      <c r="Q941" s="187"/>
      <c r="R941" s="187"/>
      <c r="S941" s="188"/>
    </row>
    <row r="942" spans="2:19" ht="12.75">
      <c r="B942" s="185"/>
      <c r="C942" s="186"/>
      <c r="D942" s="187"/>
      <c r="E942" s="187"/>
      <c r="F942" s="187"/>
      <c r="G942" s="187"/>
      <c r="H942" s="187"/>
      <c r="I942" s="187"/>
      <c r="J942" s="187"/>
      <c r="K942" s="187"/>
      <c r="L942" s="187"/>
      <c r="M942" s="187"/>
      <c r="N942" s="187"/>
      <c r="O942" s="187"/>
      <c r="P942" s="187"/>
      <c r="Q942" s="187"/>
      <c r="R942" s="187"/>
      <c r="S942" s="188"/>
    </row>
    <row r="943" spans="2:19" ht="12.75">
      <c r="B943" s="185"/>
      <c r="C943" s="186"/>
      <c r="D943" s="187"/>
      <c r="E943" s="187"/>
      <c r="F943" s="187"/>
      <c r="G943" s="187"/>
      <c r="H943" s="187"/>
      <c r="I943" s="187"/>
      <c r="J943" s="187"/>
      <c r="K943" s="187"/>
      <c r="L943" s="187"/>
      <c r="M943" s="187"/>
      <c r="N943" s="187"/>
      <c r="O943" s="187"/>
      <c r="P943" s="187"/>
      <c r="Q943" s="187"/>
      <c r="R943" s="187"/>
      <c r="S943" s="188"/>
    </row>
    <row r="944" spans="2:19" ht="12.75">
      <c r="B944" s="185"/>
      <c r="C944" s="186"/>
      <c r="D944" s="187"/>
      <c r="E944" s="187"/>
      <c r="F944" s="187"/>
      <c r="G944" s="187"/>
      <c r="H944" s="187"/>
      <c r="I944" s="187"/>
      <c r="J944" s="187"/>
      <c r="K944" s="187"/>
      <c r="L944" s="187"/>
      <c r="M944" s="187"/>
      <c r="N944" s="187"/>
      <c r="O944" s="187"/>
      <c r="P944" s="187"/>
      <c r="Q944" s="187"/>
      <c r="R944" s="187"/>
      <c r="S944" s="188"/>
    </row>
    <row r="945" spans="2:19" ht="12.75">
      <c r="B945" s="185"/>
      <c r="C945" s="186"/>
      <c r="D945" s="187"/>
      <c r="E945" s="187"/>
      <c r="F945" s="187"/>
      <c r="G945" s="187"/>
      <c r="H945" s="187"/>
      <c r="I945" s="187"/>
      <c r="J945" s="187"/>
      <c r="K945" s="187"/>
      <c r="L945" s="187"/>
      <c r="M945" s="187"/>
      <c r="N945" s="187"/>
      <c r="O945" s="187"/>
      <c r="P945" s="187"/>
      <c r="Q945" s="187"/>
      <c r="R945" s="187"/>
      <c r="S945" s="188"/>
    </row>
    <row r="946" spans="2:19" ht="12.75">
      <c r="B946" s="185"/>
      <c r="C946" s="186"/>
      <c r="D946" s="187"/>
      <c r="E946" s="187"/>
      <c r="F946" s="187"/>
      <c r="G946" s="187"/>
      <c r="H946" s="187"/>
      <c r="I946" s="187"/>
      <c r="J946" s="187"/>
      <c r="K946" s="187"/>
      <c r="L946" s="187"/>
      <c r="M946" s="187"/>
      <c r="N946" s="187"/>
      <c r="O946" s="187"/>
      <c r="P946" s="187"/>
      <c r="Q946" s="187"/>
      <c r="R946" s="187"/>
      <c r="S946" s="188"/>
    </row>
    <row r="947" spans="2:19" ht="12.75">
      <c r="B947" s="185"/>
      <c r="C947" s="186"/>
      <c r="D947" s="187"/>
      <c r="E947" s="187"/>
      <c r="F947" s="187"/>
      <c r="G947" s="187"/>
      <c r="H947" s="187"/>
      <c r="I947" s="187"/>
      <c r="J947" s="187"/>
      <c r="K947" s="187"/>
      <c r="L947" s="187"/>
      <c r="M947" s="187"/>
      <c r="N947" s="187"/>
      <c r="O947" s="187"/>
      <c r="P947" s="187"/>
      <c r="Q947" s="187"/>
      <c r="R947" s="187"/>
      <c r="S947" s="188"/>
    </row>
    <row r="948" spans="2:19" ht="12.75">
      <c r="B948" s="185"/>
      <c r="C948" s="186"/>
      <c r="D948" s="187"/>
      <c r="E948" s="187"/>
      <c r="F948" s="187"/>
      <c r="G948" s="187"/>
      <c r="H948" s="187"/>
      <c r="I948" s="187"/>
      <c r="J948" s="187"/>
      <c r="K948" s="187"/>
      <c r="L948" s="187"/>
      <c r="M948" s="187"/>
      <c r="N948" s="187"/>
      <c r="O948" s="187"/>
      <c r="P948" s="187"/>
      <c r="Q948" s="187"/>
      <c r="R948" s="187"/>
      <c r="S948" s="188"/>
    </row>
    <row r="949" spans="2:19" ht="12.75">
      <c r="B949" s="185"/>
      <c r="C949" s="186"/>
      <c r="D949" s="187"/>
      <c r="E949" s="187"/>
      <c r="F949" s="187"/>
      <c r="G949" s="187"/>
      <c r="H949" s="187"/>
      <c r="I949" s="187"/>
      <c r="J949" s="187"/>
      <c r="K949" s="187"/>
      <c r="L949" s="187"/>
      <c r="M949" s="187"/>
      <c r="N949" s="187"/>
      <c r="O949" s="187"/>
      <c r="P949" s="187"/>
      <c r="Q949" s="187"/>
      <c r="R949" s="187"/>
      <c r="S949" s="188"/>
    </row>
    <row r="950" spans="2:19" ht="12.75">
      <c r="B950" s="185"/>
      <c r="C950" s="186"/>
      <c r="D950" s="187"/>
      <c r="E950" s="187"/>
      <c r="F950" s="187"/>
      <c r="G950" s="187"/>
      <c r="H950" s="187"/>
      <c r="I950" s="187"/>
      <c r="J950" s="187"/>
      <c r="K950" s="187"/>
      <c r="L950" s="187"/>
      <c r="M950" s="187"/>
      <c r="N950" s="187"/>
      <c r="O950" s="187"/>
      <c r="P950" s="187"/>
      <c r="Q950" s="187"/>
      <c r="R950" s="187"/>
      <c r="S950" s="188"/>
    </row>
    <row r="951" spans="2:19" ht="12.75">
      <c r="B951" s="185"/>
      <c r="C951" s="186"/>
      <c r="D951" s="187"/>
      <c r="E951" s="187"/>
      <c r="F951" s="187"/>
      <c r="G951" s="187"/>
      <c r="H951" s="187"/>
      <c r="I951" s="187"/>
      <c r="J951" s="187"/>
      <c r="K951" s="187"/>
      <c r="L951" s="187"/>
      <c r="M951" s="187"/>
      <c r="N951" s="187"/>
      <c r="O951" s="187"/>
      <c r="P951" s="187"/>
      <c r="Q951" s="187"/>
      <c r="R951" s="187"/>
      <c r="S951" s="188"/>
    </row>
    <row r="952" spans="2:19" ht="12.75">
      <c r="B952" s="185"/>
      <c r="C952" s="186"/>
      <c r="D952" s="187"/>
      <c r="E952" s="187"/>
      <c r="F952" s="187"/>
      <c r="G952" s="187"/>
      <c r="H952" s="187"/>
      <c r="I952" s="187"/>
      <c r="J952" s="187"/>
      <c r="K952" s="187"/>
      <c r="L952" s="187"/>
      <c r="M952" s="187"/>
      <c r="N952" s="187"/>
      <c r="O952" s="187"/>
      <c r="P952" s="187"/>
      <c r="Q952" s="187"/>
      <c r="R952" s="187"/>
      <c r="S952" s="188"/>
    </row>
    <row r="953" spans="2:19" ht="12.75">
      <c r="B953" s="185"/>
      <c r="C953" s="186"/>
      <c r="D953" s="187"/>
      <c r="E953" s="187"/>
      <c r="F953" s="187"/>
      <c r="G953" s="187"/>
      <c r="H953" s="187"/>
      <c r="I953" s="187"/>
      <c r="J953" s="187"/>
      <c r="K953" s="187"/>
      <c r="L953" s="187"/>
      <c r="M953" s="187"/>
      <c r="N953" s="187"/>
      <c r="O953" s="187"/>
      <c r="P953" s="187"/>
      <c r="Q953" s="187"/>
      <c r="R953" s="187"/>
      <c r="S953" s="188"/>
    </row>
    <row r="954" spans="2:19" ht="12.75">
      <c r="B954" s="185"/>
      <c r="C954" s="186"/>
      <c r="D954" s="187"/>
      <c r="E954" s="187"/>
      <c r="F954" s="187"/>
      <c r="G954" s="187"/>
      <c r="H954" s="187"/>
      <c r="I954" s="187"/>
      <c r="J954" s="187"/>
      <c r="K954" s="187"/>
      <c r="L954" s="187"/>
      <c r="M954" s="187"/>
      <c r="N954" s="187"/>
      <c r="O954" s="187"/>
      <c r="P954" s="187"/>
      <c r="Q954" s="187"/>
      <c r="R954" s="187"/>
      <c r="S954" s="188"/>
    </row>
    <row r="955" spans="2:19" ht="12.75">
      <c r="B955" s="185"/>
      <c r="C955" s="186"/>
      <c r="D955" s="187"/>
      <c r="E955" s="187"/>
      <c r="F955" s="187"/>
      <c r="G955" s="187"/>
      <c r="H955" s="187"/>
      <c r="I955" s="187"/>
      <c r="J955" s="187"/>
      <c r="K955" s="187"/>
      <c r="L955" s="187"/>
      <c r="M955" s="187"/>
      <c r="N955" s="187"/>
      <c r="O955" s="187"/>
      <c r="P955" s="187"/>
      <c r="Q955" s="187"/>
      <c r="R955" s="187"/>
      <c r="S955" s="188"/>
    </row>
    <row r="956" spans="2:19" ht="12.75">
      <c r="B956" s="185"/>
      <c r="C956" s="186"/>
      <c r="D956" s="187"/>
      <c r="E956" s="187"/>
      <c r="F956" s="187"/>
      <c r="G956" s="187"/>
      <c r="H956" s="187"/>
      <c r="I956" s="187"/>
      <c r="J956" s="187"/>
      <c r="K956" s="187"/>
      <c r="L956" s="187"/>
      <c r="M956" s="187"/>
      <c r="N956" s="187"/>
      <c r="O956" s="187"/>
      <c r="P956" s="187"/>
      <c r="Q956" s="187"/>
      <c r="R956" s="187"/>
      <c r="S956" s="188"/>
    </row>
    <row r="957" spans="2:19" ht="12.75">
      <c r="B957" s="185"/>
      <c r="C957" s="186"/>
      <c r="D957" s="187"/>
      <c r="E957" s="187"/>
      <c r="F957" s="187"/>
      <c r="G957" s="187"/>
      <c r="H957" s="187"/>
      <c r="I957" s="187"/>
      <c r="J957" s="187"/>
      <c r="K957" s="187"/>
      <c r="L957" s="187"/>
      <c r="M957" s="187"/>
      <c r="N957" s="187"/>
      <c r="O957" s="187"/>
      <c r="P957" s="187"/>
      <c r="Q957" s="187"/>
      <c r="R957" s="187"/>
      <c r="S957" s="188"/>
    </row>
    <row r="958" spans="2:19" ht="12.75">
      <c r="B958" s="185"/>
      <c r="C958" s="186"/>
      <c r="D958" s="187"/>
      <c r="E958" s="187"/>
      <c r="F958" s="187"/>
      <c r="G958" s="187"/>
      <c r="H958" s="187"/>
      <c r="I958" s="187"/>
      <c r="J958" s="187"/>
      <c r="K958" s="187"/>
      <c r="L958" s="187"/>
      <c r="M958" s="187"/>
      <c r="N958" s="187"/>
      <c r="O958" s="187"/>
      <c r="P958" s="187"/>
      <c r="Q958" s="187"/>
      <c r="R958" s="187"/>
      <c r="S958" s="188"/>
    </row>
    <row r="959" spans="2:19" ht="12.75">
      <c r="B959" s="185"/>
      <c r="C959" s="186"/>
      <c r="D959" s="187"/>
      <c r="E959" s="187"/>
      <c r="F959" s="187"/>
      <c r="G959" s="187"/>
      <c r="H959" s="187"/>
      <c r="I959" s="187"/>
      <c r="J959" s="187"/>
      <c r="K959" s="187"/>
      <c r="L959" s="187"/>
      <c r="M959" s="187"/>
      <c r="N959" s="187"/>
      <c r="O959" s="187"/>
      <c r="P959" s="187"/>
      <c r="Q959" s="187"/>
      <c r="R959" s="187"/>
      <c r="S959" s="188"/>
    </row>
    <row r="960" spans="2:19" ht="12.75">
      <c r="B960" s="185"/>
      <c r="C960" s="186"/>
      <c r="D960" s="187"/>
      <c r="E960" s="187"/>
      <c r="F960" s="187"/>
      <c r="G960" s="187"/>
      <c r="H960" s="187"/>
      <c r="I960" s="187"/>
      <c r="J960" s="187"/>
      <c r="K960" s="187"/>
      <c r="L960" s="187"/>
      <c r="M960" s="187"/>
      <c r="N960" s="187"/>
      <c r="O960" s="187"/>
      <c r="P960" s="187"/>
      <c r="Q960" s="187"/>
      <c r="R960" s="187"/>
      <c r="S960" s="188"/>
    </row>
    <row r="961" spans="2:19" ht="12.75">
      <c r="B961" s="185"/>
      <c r="C961" s="186"/>
      <c r="D961" s="187"/>
      <c r="E961" s="187"/>
      <c r="F961" s="187"/>
      <c r="G961" s="187"/>
      <c r="H961" s="187"/>
      <c r="I961" s="187"/>
      <c r="J961" s="187"/>
      <c r="K961" s="187"/>
      <c r="L961" s="187"/>
      <c r="M961" s="187"/>
      <c r="N961" s="187"/>
      <c r="O961" s="187"/>
      <c r="P961" s="187"/>
      <c r="Q961" s="187"/>
      <c r="R961" s="187"/>
      <c r="S961" s="188"/>
    </row>
    <row r="962" spans="2:19" ht="12.75">
      <c r="B962" s="185"/>
      <c r="C962" s="186"/>
      <c r="D962" s="187"/>
      <c r="E962" s="187"/>
      <c r="F962" s="187"/>
      <c r="G962" s="187"/>
      <c r="H962" s="187"/>
      <c r="I962" s="187"/>
      <c r="J962" s="187"/>
      <c r="K962" s="187"/>
      <c r="L962" s="187"/>
      <c r="M962" s="187"/>
      <c r="N962" s="187"/>
      <c r="O962" s="187"/>
      <c r="P962" s="187"/>
      <c r="Q962" s="187"/>
      <c r="R962" s="187"/>
      <c r="S962" s="188"/>
    </row>
    <row r="963" spans="2:19" ht="12.75">
      <c r="B963" s="185"/>
      <c r="C963" s="186"/>
      <c r="D963" s="187"/>
      <c r="E963" s="187"/>
      <c r="F963" s="187"/>
      <c r="G963" s="187"/>
      <c r="H963" s="187"/>
      <c r="I963" s="187"/>
      <c r="J963" s="187"/>
      <c r="K963" s="187"/>
      <c r="L963" s="187"/>
      <c r="M963" s="187"/>
      <c r="N963" s="187"/>
      <c r="O963" s="187"/>
      <c r="P963" s="187"/>
      <c r="Q963" s="187"/>
      <c r="R963" s="187"/>
      <c r="S963" s="188"/>
    </row>
    <row r="964" spans="2:19" ht="12.75">
      <c r="B964" s="185"/>
      <c r="C964" s="186"/>
      <c r="D964" s="187"/>
      <c r="E964" s="187"/>
      <c r="F964" s="187"/>
      <c r="G964" s="187"/>
      <c r="H964" s="187"/>
      <c r="I964" s="187"/>
      <c r="J964" s="187"/>
      <c r="K964" s="187"/>
      <c r="L964" s="187"/>
      <c r="M964" s="187"/>
      <c r="N964" s="187"/>
      <c r="O964" s="187"/>
      <c r="P964" s="187"/>
      <c r="Q964" s="187"/>
      <c r="R964" s="187"/>
      <c r="S964" s="188"/>
    </row>
    <row r="965" spans="2:19" ht="12.75">
      <c r="B965" s="185"/>
      <c r="C965" s="186"/>
      <c r="D965" s="187"/>
      <c r="E965" s="187"/>
      <c r="F965" s="187"/>
      <c r="G965" s="187"/>
      <c r="H965" s="187"/>
      <c r="I965" s="187"/>
      <c r="J965" s="187"/>
      <c r="K965" s="187"/>
      <c r="L965" s="187"/>
      <c r="M965" s="187"/>
      <c r="N965" s="187"/>
      <c r="O965" s="187"/>
      <c r="P965" s="187"/>
      <c r="Q965" s="187"/>
      <c r="R965" s="187"/>
      <c r="S965" s="188"/>
    </row>
    <row r="966" spans="2:19" ht="12.75">
      <c r="B966" s="185"/>
      <c r="C966" s="186"/>
      <c r="D966" s="187"/>
      <c r="E966" s="187"/>
      <c r="F966" s="187"/>
      <c r="G966" s="187"/>
      <c r="H966" s="187"/>
      <c r="I966" s="187"/>
      <c r="J966" s="187"/>
      <c r="K966" s="187"/>
      <c r="L966" s="187"/>
      <c r="M966" s="187"/>
      <c r="N966" s="187"/>
      <c r="O966" s="187"/>
      <c r="P966" s="187"/>
      <c r="Q966" s="187"/>
      <c r="R966" s="187"/>
      <c r="S966" s="188"/>
    </row>
    <row r="967" spans="2:19" ht="12.75">
      <c r="B967" s="185"/>
      <c r="C967" s="186"/>
      <c r="D967" s="187"/>
      <c r="E967" s="187"/>
      <c r="F967" s="187"/>
      <c r="G967" s="187"/>
      <c r="H967" s="187"/>
      <c r="I967" s="187"/>
      <c r="J967" s="187"/>
      <c r="K967" s="187"/>
      <c r="L967" s="187"/>
      <c r="M967" s="187"/>
      <c r="N967" s="187"/>
      <c r="O967" s="187"/>
      <c r="P967" s="187"/>
      <c r="Q967" s="187"/>
      <c r="R967" s="187"/>
      <c r="S967" s="188"/>
    </row>
    <row r="968" spans="2:19" ht="12.75">
      <c r="B968" s="185"/>
      <c r="C968" s="186"/>
      <c r="D968" s="187"/>
      <c r="E968" s="187"/>
      <c r="F968" s="187"/>
      <c r="G968" s="187"/>
      <c r="H968" s="187"/>
      <c r="I968" s="187"/>
      <c r="J968" s="187"/>
      <c r="K968" s="187"/>
      <c r="L968" s="187"/>
      <c r="M968" s="187"/>
      <c r="N968" s="187"/>
      <c r="O968" s="187"/>
      <c r="P968" s="187"/>
      <c r="Q968" s="187"/>
      <c r="R968" s="187"/>
      <c r="S968" s="188"/>
    </row>
    <row r="969" spans="2:19" ht="12.75">
      <c r="B969" s="185"/>
      <c r="C969" s="186"/>
      <c r="D969" s="187"/>
      <c r="E969" s="187"/>
      <c r="F969" s="187"/>
      <c r="G969" s="187"/>
      <c r="H969" s="187"/>
      <c r="I969" s="187"/>
      <c r="J969" s="187"/>
      <c r="K969" s="187"/>
      <c r="L969" s="187"/>
      <c r="M969" s="187"/>
      <c r="N969" s="187"/>
      <c r="O969" s="187"/>
      <c r="P969" s="187"/>
      <c r="Q969" s="187"/>
      <c r="R969" s="187"/>
      <c r="S969" s="188"/>
    </row>
    <row r="970" spans="2:19" ht="12.75">
      <c r="B970" s="185"/>
      <c r="C970" s="186"/>
      <c r="D970" s="187"/>
      <c r="E970" s="187"/>
      <c r="F970" s="187"/>
      <c r="G970" s="187"/>
      <c r="H970" s="187"/>
      <c r="I970" s="187"/>
      <c r="J970" s="187"/>
      <c r="K970" s="187"/>
      <c r="L970" s="187"/>
      <c r="M970" s="187"/>
      <c r="N970" s="187"/>
      <c r="O970" s="187"/>
      <c r="P970" s="187"/>
      <c r="Q970" s="187"/>
      <c r="R970" s="187"/>
      <c r="S970" s="188"/>
    </row>
    <row r="971" spans="2:19" ht="12.75">
      <c r="B971" s="185"/>
      <c r="C971" s="186"/>
      <c r="D971" s="187"/>
      <c r="E971" s="187"/>
      <c r="F971" s="187"/>
      <c r="G971" s="187"/>
      <c r="H971" s="187"/>
      <c r="I971" s="187"/>
      <c r="J971" s="187"/>
      <c r="K971" s="187"/>
      <c r="L971" s="187"/>
      <c r="M971" s="187"/>
      <c r="N971" s="187"/>
      <c r="O971" s="187"/>
      <c r="P971" s="187"/>
      <c r="Q971" s="187"/>
      <c r="R971" s="187"/>
      <c r="S971" s="188"/>
    </row>
    <row r="972" spans="2:19" ht="12.75">
      <c r="B972" s="185"/>
      <c r="C972" s="186"/>
      <c r="D972" s="187"/>
      <c r="E972" s="187"/>
      <c r="F972" s="187"/>
      <c r="G972" s="187"/>
      <c r="H972" s="187"/>
      <c r="I972" s="187"/>
      <c r="J972" s="187"/>
      <c r="K972" s="187"/>
      <c r="L972" s="187"/>
      <c r="M972" s="187"/>
      <c r="N972" s="187"/>
      <c r="O972" s="187"/>
      <c r="P972" s="187"/>
      <c r="Q972" s="187"/>
      <c r="R972" s="187"/>
      <c r="S972" s="188"/>
    </row>
    <row r="973" spans="2:19" ht="12.75">
      <c r="B973" s="185"/>
      <c r="C973" s="186"/>
      <c r="D973" s="187"/>
      <c r="E973" s="187"/>
      <c r="F973" s="187"/>
      <c r="G973" s="187"/>
      <c r="H973" s="187"/>
      <c r="I973" s="187"/>
      <c r="J973" s="187"/>
      <c r="K973" s="187"/>
      <c r="L973" s="187"/>
      <c r="M973" s="187"/>
      <c r="N973" s="187"/>
      <c r="O973" s="187"/>
      <c r="P973" s="187"/>
      <c r="Q973" s="187"/>
      <c r="R973" s="187"/>
      <c r="S973" s="188"/>
    </row>
    <row r="974" spans="2:19" ht="12.75">
      <c r="B974" s="185"/>
      <c r="C974" s="186"/>
      <c r="D974" s="187"/>
      <c r="E974" s="187"/>
      <c r="F974" s="187"/>
      <c r="G974" s="187"/>
      <c r="H974" s="187"/>
      <c r="I974" s="187"/>
      <c r="J974" s="187"/>
      <c r="K974" s="187"/>
      <c r="L974" s="187"/>
      <c r="M974" s="187"/>
      <c r="N974" s="187"/>
      <c r="O974" s="187"/>
      <c r="P974" s="187"/>
      <c r="Q974" s="187"/>
      <c r="R974" s="187"/>
      <c r="S974" s="188"/>
    </row>
    <row r="975" spans="2:19" ht="12.75">
      <c r="B975" s="185"/>
      <c r="C975" s="186"/>
      <c r="D975" s="187"/>
      <c r="E975" s="187"/>
      <c r="F975" s="187"/>
      <c r="G975" s="187"/>
      <c r="H975" s="187"/>
      <c r="I975" s="187"/>
      <c r="J975" s="187"/>
      <c r="K975" s="187"/>
      <c r="L975" s="187"/>
      <c r="M975" s="187"/>
      <c r="N975" s="187"/>
      <c r="O975" s="187"/>
      <c r="P975" s="187"/>
      <c r="Q975" s="187"/>
      <c r="R975" s="187"/>
      <c r="S975" s="188"/>
    </row>
    <row r="976" spans="2:19" ht="12.75">
      <c r="B976" s="185"/>
      <c r="C976" s="186"/>
      <c r="D976" s="187"/>
      <c r="E976" s="187"/>
      <c r="F976" s="187"/>
      <c r="G976" s="187"/>
      <c r="H976" s="187"/>
      <c r="I976" s="187"/>
      <c r="J976" s="187"/>
      <c r="K976" s="187"/>
      <c r="L976" s="187"/>
      <c r="M976" s="187"/>
      <c r="N976" s="187"/>
      <c r="O976" s="187"/>
      <c r="P976" s="187"/>
      <c r="Q976" s="187"/>
      <c r="R976" s="187"/>
      <c r="S976" s="188"/>
    </row>
    <row r="977" spans="2:19" ht="12.75">
      <c r="B977" s="185"/>
      <c r="C977" s="186"/>
      <c r="D977" s="187"/>
      <c r="E977" s="187"/>
      <c r="F977" s="187"/>
      <c r="G977" s="187"/>
      <c r="H977" s="187"/>
      <c r="I977" s="187"/>
      <c r="J977" s="187"/>
      <c r="K977" s="187"/>
      <c r="L977" s="187"/>
      <c r="M977" s="187"/>
      <c r="N977" s="187"/>
      <c r="O977" s="187"/>
      <c r="P977" s="187"/>
      <c r="Q977" s="187"/>
      <c r="R977" s="187"/>
      <c r="S977" s="188"/>
    </row>
    <row r="978" spans="2:19" ht="12.75">
      <c r="B978" s="185"/>
      <c r="C978" s="186"/>
      <c r="D978" s="187"/>
      <c r="E978" s="187"/>
      <c r="F978" s="187"/>
      <c r="G978" s="187"/>
      <c r="H978" s="187"/>
      <c r="I978" s="187"/>
      <c r="J978" s="187"/>
      <c r="K978" s="187"/>
      <c r="L978" s="187"/>
      <c r="M978" s="187"/>
      <c r="N978" s="187"/>
      <c r="O978" s="187"/>
      <c r="P978" s="187"/>
      <c r="Q978" s="187"/>
      <c r="R978" s="187"/>
      <c r="S978" s="188"/>
    </row>
    <row r="979" spans="2:19" ht="12.75">
      <c r="B979" s="185"/>
      <c r="C979" s="186"/>
      <c r="D979" s="187"/>
      <c r="E979" s="187"/>
      <c r="F979" s="187"/>
      <c r="G979" s="187"/>
      <c r="H979" s="187"/>
      <c r="I979" s="187"/>
      <c r="J979" s="187"/>
      <c r="K979" s="187"/>
      <c r="L979" s="187"/>
      <c r="M979" s="187"/>
      <c r="N979" s="187"/>
      <c r="O979" s="187"/>
      <c r="P979" s="187"/>
      <c r="Q979" s="187"/>
      <c r="R979" s="187"/>
      <c r="S979" s="188"/>
    </row>
    <row r="980" spans="2:19" ht="12.75">
      <c r="B980" s="185"/>
      <c r="C980" s="186"/>
      <c r="D980" s="187"/>
      <c r="E980" s="187"/>
      <c r="F980" s="187"/>
      <c r="G980" s="187"/>
      <c r="H980" s="187"/>
      <c r="I980" s="187"/>
      <c r="J980" s="187"/>
      <c r="K980" s="187"/>
      <c r="L980" s="187"/>
      <c r="M980" s="187"/>
      <c r="N980" s="187"/>
      <c r="O980" s="187"/>
      <c r="P980" s="187"/>
      <c r="Q980" s="187"/>
      <c r="R980" s="187"/>
      <c r="S980" s="188"/>
    </row>
    <row r="981" spans="2:19" ht="12.75">
      <c r="B981" s="185"/>
      <c r="C981" s="186"/>
      <c r="D981" s="187"/>
      <c r="E981" s="187"/>
      <c r="F981" s="187"/>
      <c r="G981" s="187"/>
      <c r="H981" s="187"/>
      <c r="I981" s="187"/>
      <c r="J981" s="187"/>
      <c r="K981" s="187"/>
      <c r="L981" s="187"/>
      <c r="M981" s="187"/>
      <c r="N981" s="187"/>
      <c r="O981" s="187"/>
      <c r="P981" s="187"/>
      <c r="Q981" s="187"/>
      <c r="R981" s="187"/>
      <c r="S981" s="188"/>
    </row>
    <row r="982" spans="2:19" ht="12.75">
      <c r="B982" s="185"/>
      <c r="C982" s="186"/>
      <c r="D982" s="187"/>
      <c r="E982" s="187"/>
      <c r="F982" s="187"/>
      <c r="G982" s="187"/>
      <c r="H982" s="187"/>
      <c r="I982" s="187"/>
      <c r="J982" s="187"/>
      <c r="K982" s="187"/>
      <c r="L982" s="187"/>
      <c r="M982" s="187"/>
      <c r="N982" s="187"/>
      <c r="O982" s="187"/>
      <c r="P982" s="187"/>
      <c r="Q982" s="187"/>
      <c r="R982" s="187"/>
      <c r="S982" s="188"/>
    </row>
    <row r="983" spans="2:19" ht="12.75">
      <c r="B983" s="185"/>
      <c r="C983" s="186"/>
      <c r="D983" s="187"/>
      <c r="E983" s="187"/>
      <c r="F983" s="187"/>
      <c r="G983" s="187"/>
      <c r="H983" s="187"/>
      <c r="I983" s="187"/>
      <c r="J983" s="187"/>
      <c r="K983" s="187"/>
      <c r="L983" s="187"/>
      <c r="M983" s="187"/>
      <c r="N983" s="187"/>
      <c r="O983" s="187"/>
      <c r="P983" s="187"/>
      <c r="Q983" s="187"/>
      <c r="R983" s="187"/>
      <c r="S983" s="188"/>
    </row>
    <row r="984" spans="2:19" ht="12.75">
      <c r="B984" s="185"/>
      <c r="C984" s="186"/>
      <c r="D984" s="187"/>
      <c r="E984" s="187"/>
      <c r="F984" s="187"/>
      <c r="G984" s="187"/>
      <c r="H984" s="187"/>
      <c r="I984" s="187"/>
      <c r="J984" s="187"/>
      <c r="K984" s="187"/>
      <c r="L984" s="187"/>
      <c r="M984" s="187"/>
      <c r="N984" s="187"/>
      <c r="O984" s="187"/>
      <c r="P984" s="187"/>
      <c r="Q984" s="187"/>
      <c r="R984" s="187"/>
      <c r="S984" s="188"/>
    </row>
    <row r="985" spans="2:19" ht="12.75">
      <c r="B985" s="185"/>
      <c r="C985" s="186"/>
      <c r="D985" s="187"/>
      <c r="E985" s="187"/>
      <c r="F985" s="187"/>
      <c r="G985" s="187"/>
      <c r="H985" s="187"/>
      <c r="I985" s="187"/>
      <c r="J985" s="187"/>
      <c r="K985" s="187"/>
      <c r="L985" s="187"/>
      <c r="M985" s="187"/>
      <c r="N985" s="187"/>
      <c r="O985" s="187"/>
      <c r="P985" s="187"/>
      <c r="Q985" s="187"/>
      <c r="R985" s="187"/>
      <c r="S985" s="188"/>
    </row>
    <row r="986" spans="2:19" ht="12.75">
      <c r="B986" s="185"/>
      <c r="C986" s="186"/>
      <c r="D986" s="187"/>
      <c r="E986" s="187"/>
      <c r="F986" s="187"/>
      <c r="G986" s="187"/>
      <c r="H986" s="187"/>
      <c r="I986" s="187"/>
      <c r="J986" s="187"/>
      <c r="K986" s="187"/>
      <c r="L986" s="187"/>
      <c r="M986" s="187"/>
      <c r="N986" s="187"/>
      <c r="O986" s="187"/>
      <c r="P986" s="187"/>
      <c r="Q986" s="187"/>
      <c r="R986" s="187"/>
      <c r="S986" s="188"/>
    </row>
    <row r="987" spans="2:19" ht="12.75">
      <c r="B987" s="185"/>
      <c r="C987" s="186"/>
      <c r="D987" s="187"/>
      <c r="E987" s="187"/>
      <c r="F987" s="187"/>
      <c r="G987" s="187"/>
      <c r="H987" s="187"/>
      <c r="I987" s="187"/>
      <c r="J987" s="187"/>
      <c r="K987" s="187"/>
      <c r="L987" s="187"/>
      <c r="M987" s="187"/>
      <c r="N987" s="187"/>
      <c r="O987" s="187"/>
      <c r="P987" s="187"/>
      <c r="Q987" s="187"/>
      <c r="R987" s="187"/>
      <c r="S987" s="188"/>
    </row>
    <row r="988" spans="2:19" ht="12.75">
      <c r="B988" s="185"/>
      <c r="C988" s="186"/>
      <c r="D988" s="187"/>
      <c r="E988" s="187"/>
      <c r="F988" s="187"/>
      <c r="G988" s="187"/>
      <c r="H988" s="187"/>
      <c r="I988" s="187"/>
      <c r="J988" s="187"/>
      <c r="K988" s="187"/>
      <c r="L988" s="187"/>
      <c r="M988" s="187"/>
      <c r="N988" s="187"/>
      <c r="O988" s="187"/>
      <c r="P988" s="187"/>
      <c r="Q988" s="187"/>
      <c r="R988" s="187"/>
      <c r="S988" s="188"/>
    </row>
    <row r="989" spans="2:19" ht="12.75">
      <c r="B989" s="185"/>
      <c r="C989" s="186"/>
      <c r="D989" s="187"/>
      <c r="E989" s="187"/>
      <c r="F989" s="187"/>
      <c r="G989" s="187"/>
      <c r="H989" s="187"/>
      <c r="I989" s="187"/>
      <c r="J989" s="187"/>
      <c r="K989" s="187"/>
      <c r="L989" s="187"/>
      <c r="M989" s="187"/>
      <c r="N989" s="187"/>
      <c r="O989" s="187"/>
      <c r="P989" s="187"/>
      <c r="Q989" s="187"/>
      <c r="R989" s="187"/>
      <c r="S989" s="188"/>
    </row>
    <row r="990" spans="2:19" ht="12.75">
      <c r="B990" s="185"/>
      <c r="C990" s="186"/>
      <c r="D990" s="187"/>
      <c r="E990" s="187"/>
      <c r="F990" s="187"/>
      <c r="G990" s="187"/>
      <c r="H990" s="187"/>
      <c r="I990" s="187"/>
      <c r="J990" s="187"/>
      <c r="K990" s="187"/>
      <c r="L990" s="187"/>
      <c r="M990" s="187"/>
      <c r="N990" s="187"/>
      <c r="O990" s="187"/>
      <c r="P990" s="187"/>
      <c r="Q990" s="187"/>
      <c r="R990" s="187"/>
      <c r="S990" s="188"/>
    </row>
    <row r="991" spans="2:19" ht="12.75">
      <c r="B991" s="185"/>
      <c r="C991" s="186"/>
      <c r="D991" s="187"/>
      <c r="E991" s="187"/>
      <c r="F991" s="187"/>
      <c r="G991" s="187"/>
      <c r="H991" s="187"/>
      <c r="I991" s="187"/>
      <c r="J991" s="187"/>
      <c r="K991" s="187"/>
      <c r="L991" s="187"/>
      <c r="M991" s="187"/>
      <c r="N991" s="187"/>
      <c r="O991" s="187"/>
      <c r="P991" s="187"/>
      <c r="Q991" s="187"/>
      <c r="R991" s="187"/>
      <c r="S991" s="188"/>
    </row>
    <row r="992" spans="2:19" ht="12.75">
      <c r="B992" s="185"/>
      <c r="C992" s="186"/>
      <c r="D992" s="187"/>
      <c r="E992" s="187"/>
      <c r="F992" s="187"/>
      <c r="G992" s="187"/>
      <c r="H992" s="187"/>
      <c r="I992" s="187"/>
      <c r="J992" s="187"/>
      <c r="K992" s="187"/>
      <c r="L992" s="187"/>
      <c r="M992" s="187"/>
      <c r="N992" s="187"/>
      <c r="O992" s="187"/>
      <c r="P992" s="187"/>
      <c r="Q992" s="187"/>
      <c r="R992" s="187"/>
      <c r="S992" s="188"/>
    </row>
    <row r="993" spans="2:19" ht="12.75">
      <c r="B993" s="185"/>
      <c r="C993" s="186"/>
      <c r="D993" s="187"/>
      <c r="E993" s="187"/>
      <c r="F993" s="187"/>
      <c r="G993" s="187"/>
      <c r="H993" s="187"/>
      <c r="I993" s="187"/>
      <c r="J993" s="187"/>
      <c r="K993" s="187"/>
      <c r="L993" s="187"/>
      <c r="M993" s="187"/>
      <c r="N993" s="187"/>
      <c r="O993" s="187"/>
      <c r="P993" s="187"/>
      <c r="Q993" s="187"/>
      <c r="R993" s="187"/>
      <c r="S993" s="188"/>
    </row>
    <row r="994" spans="2:19" ht="12.75">
      <c r="B994" s="185"/>
      <c r="C994" s="186"/>
      <c r="D994" s="187"/>
      <c r="E994" s="187"/>
      <c r="F994" s="187"/>
      <c r="G994" s="187"/>
      <c r="H994" s="187"/>
      <c r="I994" s="187"/>
      <c r="J994" s="187"/>
      <c r="K994" s="187"/>
      <c r="L994" s="187"/>
      <c r="M994" s="187"/>
      <c r="N994" s="187"/>
      <c r="O994" s="187"/>
      <c r="P994" s="187"/>
      <c r="Q994" s="187"/>
      <c r="R994" s="187"/>
      <c r="S994" s="188"/>
    </row>
    <row r="995" spans="2:19" ht="12.75">
      <c r="B995" s="185"/>
      <c r="C995" s="186"/>
      <c r="D995" s="187"/>
      <c r="E995" s="187"/>
      <c r="F995" s="187"/>
      <c r="G995" s="187"/>
      <c r="H995" s="187"/>
      <c r="I995" s="187"/>
      <c r="J995" s="187"/>
      <c r="K995" s="187"/>
      <c r="L995" s="187"/>
      <c r="M995" s="187"/>
      <c r="N995" s="187"/>
      <c r="O995" s="187"/>
      <c r="P995" s="187"/>
      <c r="Q995" s="187"/>
      <c r="R995" s="187"/>
      <c r="S995" s="188"/>
    </row>
    <row r="996" spans="2:19" ht="12.75">
      <c r="B996" s="185"/>
      <c r="C996" s="186"/>
      <c r="D996" s="187"/>
      <c r="E996" s="187"/>
      <c r="F996" s="187"/>
      <c r="G996" s="187"/>
      <c r="H996" s="187"/>
      <c r="I996" s="187"/>
      <c r="J996" s="187"/>
      <c r="K996" s="187"/>
      <c r="L996" s="187"/>
      <c r="M996" s="187"/>
      <c r="N996" s="187"/>
      <c r="O996" s="187"/>
      <c r="P996" s="187"/>
      <c r="Q996" s="187"/>
      <c r="R996" s="187"/>
      <c r="S996" s="188"/>
    </row>
    <row r="997" spans="2:19" ht="12.75">
      <c r="B997" s="185"/>
      <c r="C997" s="186"/>
      <c r="D997" s="187"/>
      <c r="E997" s="187"/>
      <c r="F997" s="187"/>
      <c r="G997" s="187"/>
      <c r="H997" s="187"/>
      <c r="I997" s="187"/>
      <c r="J997" s="187"/>
      <c r="K997" s="187"/>
      <c r="L997" s="187"/>
      <c r="M997" s="187"/>
      <c r="N997" s="187"/>
      <c r="O997" s="187"/>
      <c r="P997" s="187"/>
      <c r="Q997" s="187"/>
      <c r="R997" s="187"/>
      <c r="S997" s="188"/>
    </row>
    <row r="998" spans="2:19" ht="12.75">
      <c r="B998" s="185"/>
      <c r="C998" s="186"/>
      <c r="D998" s="187"/>
      <c r="E998" s="187"/>
      <c r="F998" s="187"/>
      <c r="G998" s="187"/>
      <c r="H998" s="187"/>
      <c r="I998" s="187"/>
      <c r="J998" s="187"/>
      <c r="K998" s="187"/>
      <c r="L998" s="187"/>
      <c r="M998" s="187"/>
      <c r="N998" s="187"/>
      <c r="O998" s="187"/>
      <c r="P998" s="187"/>
      <c r="Q998" s="187"/>
      <c r="R998" s="187"/>
      <c r="S998" s="188"/>
    </row>
    <row r="999" spans="2:19" ht="12.75">
      <c r="B999" s="185"/>
      <c r="C999" s="186"/>
      <c r="D999" s="187"/>
      <c r="E999" s="187"/>
      <c r="F999" s="187"/>
      <c r="G999" s="187"/>
      <c r="H999" s="187"/>
      <c r="I999" s="187"/>
      <c r="J999" s="187"/>
      <c r="K999" s="187"/>
      <c r="L999" s="187"/>
      <c r="M999" s="187"/>
      <c r="N999" s="187"/>
      <c r="O999" s="187"/>
      <c r="P999" s="187"/>
      <c r="Q999" s="187"/>
      <c r="R999" s="187"/>
      <c r="S999" s="188"/>
    </row>
    <row r="1000" spans="2:19" ht="12.75">
      <c r="B1000" s="185"/>
      <c r="C1000" s="186"/>
      <c r="D1000" s="187"/>
      <c r="E1000" s="187"/>
      <c r="F1000" s="187"/>
      <c r="G1000" s="187"/>
      <c r="H1000" s="187"/>
      <c r="I1000" s="187"/>
      <c r="J1000" s="187"/>
      <c r="K1000" s="187"/>
      <c r="L1000" s="187"/>
      <c r="M1000" s="187"/>
      <c r="N1000" s="187"/>
      <c r="O1000" s="187"/>
      <c r="P1000" s="187"/>
      <c r="Q1000" s="187"/>
      <c r="R1000" s="187"/>
      <c r="S1000" s="188"/>
    </row>
    <row r="1001" spans="2:19" ht="12.75">
      <c r="B1001" s="185"/>
      <c r="C1001" s="186"/>
      <c r="D1001" s="187"/>
      <c r="E1001" s="187"/>
      <c r="F1001" s="187"/>
      <c r="G1001" s="187"/>
      <c r="H1001" s="187"/>
      <c r="I1001" s="187"/>
      <c r="J1001" s="187"/>
      <c r="K1001" s="187"/>
      <c r="L1001" s="187"/>
      <c r="M1001" s="187"/>
      <c r="N1001" s="187"/>
      <c r="O1001" s="187"/>
      <c r="P1001" s="187"/>
      <c r="Q1001" s="187"/>
      <c r="R1001" s="187"/>
      <c r="S1001" s="188"/>
    </row>
    <row r="1002" spans="2:19" ht="12.75">
      <c r="B1002" s="185"/>
      <c r="C1002" s="186"/>
      <c r="D1002" s="187"/>
      <c r="E1002" s="187"/>
      <c r="F1002" s="187"/>
      <c r="G1002" s="187"/>
      <c r="H1002" s="187"/>
      <c r="I1002" s="187"/>
      <c r="J1002" s="187"/>
      <c r="K1002" s="187"/>
      <c r="L1002" s="187"/>
      <c r="M1002" s="187"/>
      <c r="N1002" s="187"/>
      <c r="O1002" s="187"/>
      <c r="P1002" s="187"/>
      <c r="Q1002" s="187"/>
      <c r="R1002" s="187"/>
      <c r="S1002" s="188"/>
    </row>
    <row r="1003" spans="2:19" ht="12.75">
      <c r="B1003" s="185"/>
      <c r="C1003" s="186"/>
      <c r="D1003" s="187"/>
      <c r="E1003" s="187"/>
      <c r="F1003" s="187"/>
      <c r="G1003" s="187"/>
      <c r="H1003" s="187"/>
      <c r="I1003" s="187"/>
      <c r="J1003" s="187"/>
      <c r="K1003" s="187"/>
      <c r="L1003" s="187"/>
      <c r="M1003" s="187"/>
      <c r="N1003" s="187"/>
      <c r="O1003" s="187"/>
      <c r="P1003" s="187"/>
      <c r="Q1003" s="187"/>
      <c r="R1003" s="187"/>
      <c r="S1003" s="188"/>
    </row>
    <row r="1004" spans="2:19" ht="12.75">
      <c r="B1004" s="185"/>
      <c r="C1004" s="186"/>
      <c r="D1004" s="187"/>
      <c r="E1004" s="187"/>
      <c r="F1004" s="187"/>
      <c r="G1004" s="187"/>
      <c r="H1004" s="187"/>
      <c r="I1004" s="187"/>
      <c r="J1004" s="187"/>
      <c r="K1004" s="187"/>
      <c r="L1004" s="187"/>
      <c r="M1004" s="187"/>
      <c r="N1004" s="187"/>
      <c r="O1004" s="187"/>
      <c r="P1004" s="187"/>
      <c r="Q1004" s="187"/>
      <c r="R1004" s="187"/>
      <c r="S1004" s="188"/>
    </row>
    <row r="1005" spans="2:19" ht="12.75">
      <c r="B1005" s="185"/>
      <c r="C1005" s="186"/>
      <c r="D1005" s="187"/>
      <c r="E1005" s="187"/>
      <c r="F1005" s="187"/>
      <c r="G1005" s="187"/>
      <c r="H1005" s="187"/>
      <c r="I1005" s="187"/>
      <c r="J1005" s="187"/>
      <c r="K1005" s="187"/>
      <c r="L1005" s="187"/>
      <c r="M1005" s="187"/>
      <c r="N1005" s="187"/>
      <c r="O1005" s="187"/>
      <c r="P1005" s="187"/>
      <c r="Q1005" s="187"/>
      <c r="R1005" s="187"/>
      <c r="S1005" s="188"/>
    </row>
    <row r="1006" spans="2:19" ht="12.75">
      <c r="B1006" s="185"/>
      <c r="C1006" s="186"/>
      <c r="D1006" s="187"/>
      <c r="E1006" s="187"/>
      <c r="F1006" s="187"/>
      <c r="G1006" s="187"/>
      <c r="H1006" s="187"/>
      <c r="I1006" s="187"/>
      <c r="J1006" s="187"/>
      <c r="K1006" s="187"/>
      <c r="L1006" s="187"/>
      <c r="M1006" s="187"/>
      <c r="N1006" s="187"/>
      <c r="O1006" s="187"/>
      <c r="P1006" s="187"/>
      <c r="Q1006" s="187"/>
      <c r="R1006" s="187"/>
      <c r="S1006" s="188"/>
    </row>
    <row r="1007" spans="2:19" ht="12.75">
      <c r="B1007" s="185"/>
      <c r="C1007" s="186"/>
      <c r="D1007" s="187"/>
      <c r="E1007" s="187"/>
      <c r="F1007" s="187"/>
      <c r="G1007" s="187"/>
      <c r="H1007" s="187"/>
      <c r="I1007" s="187"/>
      <c r="J1007" s="187"/>
      <c r="K1007" s="187"/>
      <c r="L1007" s="187"/>
      <c r="M1007" s="187"/>
      <c r="N1007" s="187"/>
      <c r="O1007" s="187"/>
      <c r="P1007" s="187"/>
      <c r="Q1007" s="187"/>
      <c r="R1007" s="187"/>
      <c r="S1007" s="188"/>
    </row>
    <row r="1008" spans="2:19" ht="12.75">
      <c r="B1008" s="185"/>
      <c r="C1008" s="186"/>
      <c r="D1008" s="187"/>
      <c r="E1008" s="187"/>
      <c r="F1008" s="187"/>
      <c r="G1008" s="187"/>
      <c r="H1008" s="187"/>
      <c r="I1008" s="187"/>
      <c r="J1008" s="187"/>
      <c r="K1008" s="187"/>
      <c r="L1008" s="187"/>
      <c r="M1008" s="187"/>
      <c r="N1008" s="187"/>
      <c r="O1008" s="187"/>
      <c r="P1008" s="187"/>
      <c r="Q1008" s="187"/>
      <c r="R1008" s="187"/>
      <c r="S1008" s="188"/>
    </row>
    <row r="1009" spans="2:19" ht="12.75">
      <c r="B1009" s="185"/>
      <c r="C1009" s="186"/>
      <c r="D1009" s="187"/>
      <c r="E1009" s="187"/>
      <c r="F1009" s="187"/>
      <c r="G1009" s="187"/>
      <c r="H1009" s="187"/>
      <c r="I1009" s="187"/>
      <c r="J1009" s="187"/>
      <c r="K1009" s="187"/>
      <c r="L1009" s="187"/>
      <c r="M1009" s="187"/>
      <c r="N1009" s="187"/>
      <c r="O1009" s="187"/>
      <c r="P1009" s="187"/>
      <c r="Q1009" s="187"/>
      <c r="R1009" s="187"/>
      <c r="S1009" s="188"/>
    </row>
    <row r="1010" spans="2:19" ht="12.75">
      <c r="B1010" s="185"/>
      <c r="C1010" s="186"/>
      <c r="D1010" s="187"/>
      <c r="E1010" s="187"/>
      <c r="F1010" s="187"/>
      <c r="G1010" s="187"/>
      <c r="H1010" s="187"/>
      <c r="I1010" s="187"/>
      <c r="J1010" s="187"/>
      <c r="K1010" s="187"/>
      <c r="L1010" s="187"/>
      <c r="M1010" s="187"/>
      <c r="N1010" s="187"/>
      <c r="O1010" s="187"/>
      <c r="P1010" s="187"/>
      <c r="Q1010" s="187"/>
      <c r="R1010" s="187"/>
      <c r="S1010" s="188"/>
    </row>
    <row r="1011" spans="2:19" ht="12.75">
      <c r="B1011" s="185"/>
      <c r="C1011" s="186"/>
      <c r="D1011" s="187"/>
      <c r="E1011" s="187"/>
      <c r="F1011" s="187"/>
      <c r="G1011" s="187"/>
      <c r="H1011" s="187"/>
      <c r="I1011" s="187"/>
      <c r="J1011" s="187"/>
      <c r="K1011" s="187"/>
      <c r="L1011" s="187"/>
      <c r="M1011" s="187"/>
      <c r="N1011" s="187"/>
      <c r="O1011" s="187"/>
      <c r="P1011" s="187"/>
      <c r="Q1011" s="187"/>
      <c r="R1011" s="187"/>
      <c r="S1011" s="188"/>
    </row>
    <row r="1012" spans="2:19" ht="12.75">
      <c r="B1012" s="185"/>
      <c r="C1012" s="186"/>
      <c r="D1012" s="187"/>
      <c r="E1012" s="187"/>
      <c r="F1012" s="187"/>
      <c r="G1012" s="187"/>
      <c r="H1012" s="187"/>
      <c r="I1012" s="187"/>
      <c r="J1012" s="187"/>
      <c r="K1012" s="187"/>
      <c r="L1012" s="187"/>
      <c r="M1012" s="187"/>
      <c r="N1012" s="187"/>
      <c r="O1012" s="187"/>
      <c r="P1012" s="187"/>
      <c r="Q1012" s="187"/>
      <c r="R1012" s="187"/>
      <c r="S1012" s="188"/>
    </row>
    <row r="1013" spans="2:19" ht="12.75">
      <c r="B1013" s="185"/>
      <c r="C1013" s="186"/>
      <c r="D1013" s="187"/>
      <c r="E1013" s="187"/>
      <c r="F1013" s="187"/>
      <c r="G1013" s="187"/>
      <c r="H1013" s="187"/>
      <c r="I1013" s="187"/>
      <c r="J1013" s="187"/>
      <c r="K1013" s="187"/>
      <c r="L1013" s="187"/>
      <c r="M1013" s="187"/>
      <c r="N1013" s="187"/>
      <c r="O1013" s="187"/>
      <c r="P1013" s="187"/>
      <c r="Q1013" s="187"/>
      <c r="R1013" s="187"/>
      <c r="S1013" s="188"/>
    </row>
    <row r="1014" spans="2:19" ht="12.75">
      <c r="B1014" s="185"/>
      <c r="C1014" s="186"/>
      <c r="D1014" s="187"/>
      <c r="E1014" s="187"/>
      <c r="F1014" s="187"/>
      <c r="G1014" s="187"/>
      <c r="H1014" s="187"/>
      <c r="I1014" s="187"/>
      <c r="J1014" s="187"/>
      <c r="K1014" s="187"/>
      <c r="L1014" s="187"/>
      <c r="M1014" s="187"/>
      <c r="N1014" s="187"/>
      <c r="O1014" s="187"/>
      <c r="P1014" s="187"/>
      <c r="Q1014" s="187"/>
      <c r="R1014" s="187"/>
      <c r="S1014" s="188"/>
    </row>
    <row r="1015" spans="2:19" ht="12.75">
      <c r="B1015" s="185"/>
      <c r="C1015" s="186"/>
      <c r="D1015" s="187"/>
      <c r="E1015" s="187"/>
      <c r="F1015" s="187"/>
      <c r="G1015" s="187"/>
      <c r="H1015" s="187"/>
      <c r="I1015" s="187"/>
      <c r="J1015" s="187"/>
      <c r="K1015" s="187"/>
      <c r="L1015" s="187"/>
      <c r="M1015" s="187"/>
      <c r="N1015" s="187"/>
      <c r="O1015" s="187"/>
      <c r="P1015" s="187"/>
      <c r="Q1015" s="187"/>
      <c r="R1015" s="187"/>
      <c r="S1015" s="188"/>
    </row>
    <row r="1016" spans="2:19" ht="12.75">
      <c r="B1016" s="185"/>
      <c r="C1016" s="186"/>
      <c r="D1016" s="187"/>
      <c r="E1016" s="187"/>
      <c r="F1016" s="187"/>
      <c r="G1016" s="187"/>
      <c r="H1016" s="187"/>
      <c r="I1016" s="187"/>
      <c r="J1016" s="187"/>
      <c r="K1016" s="187"/>
      <c r="L1016" s="187"/>
      <c r="M1016" s="187"/>
      <c r="N1016" s="187"/>
      <c r="O1016" s="187"/>
      <c r="P1016" s="187"/>
      <c r="Q1016" s="187"/>
      <c r="R1016" s="187"/>
      <c r="S1016" s="188"/>
    </row>
    <row r="1017" spans="2:19" ht="12.75">
      <c r="B1017" s="185"/>
      <c r="C1017" s="186"/>
      <c r="D1017" s="187"/>
      <c r="E1017" s="187"/>
      <c r="F1017" s="187"/>
      <c r="G1017" s="187"/>
      <c r="H1017" s="187"/>
      <c r="I1017" s="187"/>
      <c r="J1017" s="187"/>
      <c r="K1017" s="187"/>
      <c r="L1017" s="187"/>
      <c r="M1017" s="187"/>
      <c r="N1017" s="187"/>
      <c r="O1017" s="187"/>
      <c r="P1017" s="187"/>
      <c r="Q1017" s="187"/>
      <c r="R1017" s="187"/>
      <c r="S1017" s="188"/>
    </row>
    <row r="1018" spans="2:19" ht="12.75">
      <c r="B1018" s="185"/>
      <c r="C1018" s="186"/>
      <c r="D1018" s="187"/>
      <c r="E1018" s="187"/>
      <c r="F1018" s="187"/>
      <c r="G1018" s="187"/>
      <c r="H1018" s="187"/>
      <c r="I1018" s="187"/>
      <c r="J1018" s="187"/>
      <c r="K1018" s="187"/>
      <c r="L1018" s="187"/>
      <c r="M1018" s="187"/>
      <c r="N1018" s="187"/>
      <c r="O1018" s="187"/>
      <c r="P1018" s="187"/>
      <c r="Q1018" s="187"/>
      <c r="R1018" s="187"/>
      <c r="S1018" s="188"/>
    </row>
    <row r="1019" spans="2:19" ht="12.75">
      <c r="B1019" s="185"/>
      <c r="C1019" s="186"/>
      <c r="D1019" s="187"/>
      <c r="E1019" s="187"/>
      <c r="F1019" s="187"/>
      <c r="G1019" s="187"/>
      <c r="H1019" s="187"/>
      <c r="I1019" s="187"/>
      <c r="J1019" s="187"/>
      <c r="K1019" s="187"/>
      <c r="L1019" s="187"/>
      <c r="M1019" s="187"/>
      <c r="N1019" s="187"/>
      <c r="O1019" s="187"/>
      <c r="P1019" s="187"/>
      <c r="Q1019" s="187"/>
      <c r="R1019" s="187"/>
      <c r="S1019" s="188"/>
    </row>
    <row r="1020" spans="2:19" ht="12.75">
      <c r="B1020" s="185"/>
      <c r="C1020" s="186"/>
      <c r="D1020" s="187"/>
      <c r="E1020" s="187"/>
      <c r="F1020" s="187"/>
      <c r="G1020" s="187"/>
      <c r="H1020" s="187"/>
      <c r="I1020" s="187"/>
      <c r="J1020" s="187"/>
      <c r="K1020" s="187"/>
      <c r="L1020" s="187"/>
      <c r="M1020" s="187"/>
      <c r="N1020" s="187"/>
      <c r="O1020" s="187"/>
      <c r="P1020" s="187"/>
      <c r="Q1020" s="187"/>
      <c r="R1020" s="187"/>
      <c r="S1020" s="188"/>
    </row>
    <row r="1021" spans="2:19" ht="12.75">
      <c r="B1021" s="185"/>
      <c r="C1021" s="186"/>
      <c r="D1021" s="187"/>
      <c r="E1021" s="187"/>
      <c r="F1021" s="187"/>
      <c r="G1021" s="187"/>
      <c r="H1021" s="187"/>
      <c r="I1021" s="187"/>
      <c r="J1021" s="187"/>
      <c r="K1021" s="187"/>
      <c r="L1021" s="187"/>
      <c r="M1021" s="187"/>
      <c r="N1021" s="187"/>
      <c r="O1021" s="187"/>
      <c r="P1021" s="187"/>
      <c r="Q1021" s="187"/>
      <c r="R1021" s="187"/>
      <c r="S1021" s="188"/>
    </row>
    <row r="1022" spans="2:19" ht="12.75">
      <c r="B1022" s="185"/>
      <c r="C1022" s="186"/>
      <c r="D1022" s="187"/>
      <c r="E1022" s="187"/>
      <c r="F1022" s="187"/>
      <c r="G1022" s="187"/>
      <c r="H1022" s="187"/>
      <c r="I1022" s="187"/>
      <c r="J1022" s="187"/>
      <c r="K1022" s="187"/>
      <c r="L1022" s="187"/>
      <c r="M1022" s="187"/>
      <c r="N1022" s="187"/>
      <c r="O1022" s="187"/>
      <c r="P1022" s="187"/>
      <c r="Q1022" s="187"/>
      <c r="R1022" s="187"/>
      <c r="S1022" s="188"/>
    </row>
    <row r="1023" spans="2:19" ht="12.75">
      <c r="B1023" s="185"/>
      <c r="C1023" s="186"/>
      <c r="D1023" s="187"/>
      <c r="E1023" s="187"/>
      <c r="F1023" s="187"/>
      <c r="G1023" s="187"/>
      <c r="H1023" s="187"/>
      <c r="I1023" s="187"/>
      <c r="J1023" s="187"/>
      <c r="K1023" s="187"/>
      <c r="L1023" s="187"/>
      <c r="M1023" s="187"/>
      <c r="N1023" s="187"/>
      <c r="O1023" s="187"/>
      <c r="P1023" s="187"/>
      <c r="Q1023" s="187"/>
      <c r="R1023" s="187"/>
      <c r="S1023" s="188"/>
    </row>
    <row r="1024" spans="2:19" ht="12.75">
      <c r="B1024" s="185"/>
      <c r="C1024" s="186"/>
      <c r="D1024" s="187"/>
      <c r="E1024" s="187"/>
      <c r="F1024" s="187"/>
      <c r="G1024" s="187"/>
      <c r="H1024" s="187"/>
      <c r="I1024" s="187"/>
      <c r="J1024" s="187"/>
      <c r="K1024" s="187"/>
      <c r="L1024" s="187"/>
      <c r="M1024" s="187"/>
      <c r="N1024" s="187"/>
      <c r="O1024" s="187"/>
      <c r="P1024" s="187"/>
      <c r="Q1024" s="187"/>
      <c r="R1024" s="187"/>
      <c r="S1024" s="188"/>
    </row>
    <row r="1025" spans="2:19" ht="12.75">
      <c r="B1025" s="185"/>
      <c r="C1025" s="186"/>
      <c r="D1025" s="187"/>
      <c r="E1025" s="187"/>
      <c r="F1025" s="187"/>
      <c r="G1025" s="187"/>
      <c r="H1025" s="187"/>
      <c r="I1025" s="187"/>
      <c r="J1025" s="187"/>
      <c r="K1025" s="187"/>
      <c r="L1025" s="187"/>
      <c r="M1025" s="187"/>
      <c r="N1025" s="187"/>
      <c r="O1025" s="187"/>
      <c r="P1025" s="187"/>
      <c r="Q1025" s="187"/>
      <c r="R1025" s="187"/>
      <c r="S1025" s="188"/>
    </row>
    <row r="1026" spans="2:19" ht="12.75">
      <c r="B1026" s="185"/>
      <c r="C1026" s="186"/>
      <c r="D1026" s="187"/>
      <c r="E1026" s="187"/>
      <c r="F1026" s="187"/>
      <c r="G1026" s="187"/>
      <c r="H1026" s="187"/>
      <c r="I1026" s="187"/>
      <c r="J1026" s="187"/>
      <c r="K1026" s="187"/>
      <c r="L1026" s="187"/>
      <c r="M1026" s="187"/>
      <c r="N1026" s="187"/>
      <c r="O1026" s="187"/>
      <c r="P1026" s="187"/>
      <c r="Q1026" s="187"/>
      <c r="R1026" s="187"/>
      <c r="S1026" s="188"/>
    </row>
    <row r="1027" spans="2:19" ht="12.75">
      <c r="B1027" s="185"/>
      <c r="C1027" s="186"/>
      <c r="D1027" s="187"/>
      <c r="E1027" s="187"/>
      <c r="F1027" s="187"/>
      <c r="G1027" s="187"/>
      <c r="H1027" s="187"/>
      <c r="I1027" s="187"/>
      <c r="J1027" s="187"/>
      <c r="K1027" s="187"/>
      <c r="L1027" s="187"/>
      <c r="M1027" s="187"/>
      <c r="N1027" s="187"/>
      <c r="O1027" s="187"/>
      <c r="P1027" s="187"/>
      <c r="Q1027" s="187"/>
      <c r="R1027" s="187"/>
      <c r="S1027" s="188"/>
    </row>
    <row r="1028" spans="2:19" ht="12.75">
      <c r="B1028" s="185"/>
      <c r="C1028" s="186"/>
      <c r="D1028" s="187"/>
      <c r="E1028" s="187"/>
      <c r="F1028" s="187"/>
      <c r="G1028" s="187"/>
      <c r="H1028" s="187"/>
      <c r="I1028" s="187"/>
      <c r="J1028" s="187"/>
      <c r="K1028" s="187"/>
      <c r="L1028" s="187"/>
      <c r="M1028" s="187"/>
      <c r="N1028" s="187"/>
      <c r="O1028" s="187"/>
      <c r="P1028" s="187"/>
      <c r="Q1028" s="187"/>
      <c r="R1028" s="187"/>
      <c r="S1028" s="188"/>
    </row>
    <row r="1029" spans="2:19" ht="12.75">
      <c r="B1029" s="185"/>
      <c r="C1029" s="186"/>
      <c r="D1029" s="187"/>
      <c r="E1029" s="187"/>
      <c r="F1029" s="187"/>
      <c r="G1029" s="187"/>
      <c r="H1029" s="187"/>
      <c r="I1029" s="187"/>
      <c r="J1029" s="187"/>
      <c r="K1029" s="187"/>
      <c r="L1029" s="187"/>
      <c r="M1029" s="187"/>
      <c r="N1029" s="187"/>
      <c r="O1029" s="187"/>
      <c r="P1029" s="187"/>
      <c r="Q1029" s="187"/>
      <c r="R1029" s="187"/>
      <c r="S1029" s="188"/>
    </row>
    <row r="1030" spans="2:19" ht="12.75">
      <c r="B1030" s="185"/>
      <c r="C1030" s="186"/>
      <c r="D1030" s="187"/>
      <c r="E1030" s="187"/>
      <c r="F1030" s="187"/>
      <c r="G1030" s="187"/>
      <c r="H1030" s="187"/>
      <c r="I1030" s="187"/>
      <c r="J1030" s="187"/>
      <c r="K1030" s="187"/>
      <c r="L1030" s="187"/>
      <c r="M1030" s="187"/>
      <c r="N1030" s="187"/>
      <c r="O1030" s="187"/>
      <c r="P1030" s="187"/>
      <c r="Q1030" s="187"/>
      <c r="R1030" s="187"/>
      <c r="S1030" s="188"/>
    </row>
    <row r="1031" spans="2:19" ht="12.75">
      <c r="B1031" s="185"/>
      <c r="C1031" s="186"/>
      <c r="D1031" s="187"/>
      <c r="E1031" s="187"/>
      <c r="F1031" s="187"/>
      <c r="G1031" s="187"/>
      <c r="H1031" s="187"/>
      <c r="I1031" s="187"/>
      <c r="J1031" s="187"/>
      <c r="K1031" s="187"/>
      <c r="L1031" s="187"/>
      <c r="M1031" s="187"/>
      <c r="N1031" s="187"/>
      <c r="O1031" s="187"/>
      <c r="P1031" s="187"/>
      <c r="Q1031" s="187"/>
      <c r="R1031" s="187"/>
      <c r="S1031" s="188"/>
    </row>
    <row r="1032" spans="2:19" ht="12.75">
      <c r="B1032" s="185"/>
      <c r="C1032" s="186"/>
      <c r="D1032" s="187"/>
      <c r="E1032" s="187"/>
      <c r="F1032" s="187"/>
      <c r="G1032" s="187"/>
      <c r="H1032" s="187"/>
      <c r="I1032" s="187"/>
      <c r="J1032" s="187"/>
      <c r="K1032" s="187"/>
      <c r="L1032" s="187"/>
      <c r="M1032" s="187"/>
      <c r="N1032" s="187"/>
      <c r="O1032" s="187"/>
      <c r="P1032" s="187"/>
      <c r="Q1032" s="187"/>
      <c r="R1032" s="187"/>
      <c r="S1032" s="188"/>
    </row>
    <row r="1033" spans="2:19" ht="12.75">
      <c r="B1033" s="185"/>
      <c r="C1033" s="186"/>
      <c r="D1033" s="187"/>
      <c r="E1033" s="187"/>
      <c r="F1033" s="187"/>
      <c r="G1033" s="187"/>
      <c r="H1033" s="187"/>
      <c r="I1033" s="187"/>
      <c r="J1033" s="187"/>
      <c r="K1033" s="187"/>
      <c r="L1033" s="187"/>
      <c r="M1033" s="187"/>
      <c r="N1033" s="187"/>
      <c r="O1033" s="187"/>
      <c r="P1033" s="187"/>
      <c r="Q1033" s="187"/>
      <c r="R1033" s="187"/>
      <c r="S1033" s="188"/>
    </row>
    <row r="1034" spans="2:19" ht="12.75">
      <c r="B1034" s="185"/>
      <c r="C1034" s="186"/>
      <c r="D1034" s="187"/>
      <c r="E1034" s="187"/>
      <c r="F1034" s="187"/>
      <c r="G1034" s="187"/>
      <c r="H1034" s="187"/>
      <c r="I1034" s="187"/>
      <c r="J1034" s="187"/>
      <c r="K1034" s="187"/>
      <c r="L1034" s="187"/>
      <c r="M1034" s="187"/>
      <c r="N1034" s="187"/>
      <c r="O1034" s="187"/>
      <c r="P1034" s="187"/>
      <c r="Q1034" s="187"/>
      <c r="R1034" s="187"/>
      <c r="S1034" s="188"/>
    </row>
    <row r="1035" spans="2:19" ht="12.75">
      <c r="B1035" s="185"/>
      <c r="C1035" s="186"/>
      <c r="D1035" s="187"/>
      <c r="E1035" s="187"/>
      <c r="F1035" s="187"/>
      <c r="G1035" s="187"/>
      <c r="H1035" s="187"/>
      <c r="I1035" s="187"/>
      <c r="J1035" s="187"/>
      <c r="K1035" s="187"/>
      <c r="L1035" s="187"/>
      <c r="M1035" s="187"/>
      <c r="N1035" s="187"/>
      <c r="O1035" s="187"/>
      <c r="P1035" s="187"/>
      <c r="Q1035" s="187"/>
      <c r="R1035" s="187"/>
      <c r="S1035" s="188"/>
    </row>
    <row r="1036" spans="2:19" ht="12.75">
      <c r="B1036" s="185"/>
      <c r="C1036" s="186"/>
      <c r="D1036" s="187"/>
      <c r="E1036" s="187"/>
      <c r="F1036" s="187"/>
      <c r="G1036" s="187"/>
      <c r="H1036" s="187"/>
      <c r="I1036" s="187"/>
      <c r="J1036" s="187"/>
      <c r="K1036" s="187"/>
      <c r="L1036" s="187"/>
      <c r="M1036" s="187"/>
      <c r="N1036" s="187"/>
      <c r="O1036" s="187"/>
      <c r="P1036" s="187"/>
      <c r="Q1036" s="187"/>
      <c r="R1036" s="187"/>
      <c r="S1036" s="188"/>
    </row>
    <row r="1037" spans="2:19" ht="12.75">
      <c r="B1037" s="185"/>
      <c r="C1037" s="186"/>
      <c r="D1037" s="187"/>
      <c r="E1037" s="187"/>
      <c r="F1037" s="187"/>
      <c r="G1037" s="187"/>
      <c r="H1037" s="187"/>
      <c r="I1037" s="187"/>
      <c r="J1037" s="187"/>
      <c r="K1037" s="187"/>
      <c r="L1037" s="187"/>
      <c r="M1037" s="187"/>
      <c r="N1037" s="187"/>
      <c r="O1037" s="187"/>
      <c r="P1037" s="187"/>
      <c r="Q1037" s="187"/>
      <c r="R1037" s="187"/>
      <c r="S1037" s="188"/>
    </row>
    <row r="1038" spans="2:19" ht="12.75">
      <c r="B1038" s="185"/>
      <c r="C1038" s="186"/>
      <c r="D1038" s="187"/>
      <c r="E1038" s="187"/>
      <c r="F1038" s="187"/>
      <c r="G1038" s="187"/>
      <c r="H1038" s="187"/>
      <c r="I1038" s="187"/>
      <c r="J1038" s="187"/>
      <c r="K1038" s="187"/>
      <c r="L1038" s="187"/>
      <c r="M1038" s="187"/>
      <c r="N1038" s="187"/>
      <c r="O1038" s="187"/>
      <c r="P1038" s="187"/>
      <c r="Q1038" s="187"/>
      <c r="R1038" s="187"/>
      <c r="S1038" s="188"/>
    </row>
    <row r="1039" spans="2:19" ht="12.75">
      <c r="B1039" s="185"/>
      <c r="C1039" s="186"/>
      <c r="D1039" s="187"/>
      <c r="E1039" s="187"/>
      <c r="F1039" s="187"/>
      <c r="G1039" s="187"/>
      <c r="H1039" s="187"/>
      <c r="I1039" s="187"/>
      <c r="J1039" s="187"/>
      <c r="K1039" s="187"/>
      <c r="L1039" s="187"/>
      <c r="M1039" s="187"/>
      <c r="N1039" s="187"/>
      <c r="O1039" s="187"/>
      <c r="P1039" s="187"/>
      <c r="Q1039" s="187"/>
      <c r="R1039" s="187"/>
      <c r="S1039" s="188"/>
    </row>
    <row r="1040" spans="2:19" ht="12.75">
      <c r="B1040" s="185"/>
      <c r="C1040" s="186"/>
      <c r="D1040" s="187"/>
      <c r="E1040" s="187"/>
      <c r="F1040" s="187"/>
      <c r="G1040" s="187"/>
      <c r="H1040" s="187"/>
      <c r="I1040" s="187"/>
      <c r="J1040" s="187"/>
      <c r="K1040" s="187"/>
      <c r="L1040" s="187"/>
      <c r="M1040" s="187"/>
      <c r="N1040" s="187"/>
      <c r="O1040" s="187"/>
      <c r="P1040" s="187"/>
      <c r="Q1040" s="187"/>
      <c r="R1040" s="187"/>
      <c r="S1040" s="188"/>
    </row>
    <row r="1041" spans="2:19" ht="12.75">
      <c r="B1041" s="185"/>
      <c r="C1041" s="186"/>
      <c r="D1041" s="187"/>
      <c r="E1041" s="187"/>
      <c r="F1041" s="187"/>
      <c r="G1041" s="187"/>
      <c r="H1041" s="187"/>
      <c r="I1041" s="187"/>
      <c r="J1041" s="187"/>
      <c r="K1041" s="187"/>
      <c r="L1041" s="187"/>
      <c r="M1041" s="187"/>
      <c r="N1041" s="187"/>
      <c r="O1041" s="187"/>
      <c r="P1041" s="187"/>
      <c r="Q1041" s="187"/>
      <c r="R1041" s="187"/>
      <c r="S1041" s="188"/>
    </row>
    <row r="1042" spans="2:19" ht="12.75">
      <c r="B1042" s="185"/>
      <c r="C1042" s="186"/>
      <c r="D1042" s="187"/>
      <c r="E1042" s="187"/>
      <c r="F1042" s="187"/>
      <c r="G1042" s="187"/>
      <c r="H1042" s="187"/>
      <c r="I1042" s="187"/>
      <c r="J1042" s="187"/>
      <c r="K1042" s="187"/>
      <c r="L1042" s="187"/>
      <c r="M1042" s="187"/>
      <c r="N1042" s="187"/>
      <c r="O1042" s="187"/>
      <c r="P1042" s="187"/>
      <c r="Q1042" s="187"/>
      <c r="R1042" s="187"/>
      <c r="S1042" s="188"/>
    </row>
    <row r="1043" spans="2:19" ht="12.75">
      <c r="B1043" s="185"/>
      <c r="C1043" s="186"/>
      <c r="D1043" s="187"/>
      <c r="E1043" s="187"/>
      <c r="F1043" s="187"/>
      <c r="G1043" s="187"/>
      <c r="H1043" s="187"/>
      <c r="I1043" s="187"/>
      <c r="J1043" s="187"/>
      <c r="K1043" s="187"/>
      <c r="L1043" s="187"/>
      <c r="M1043" s="187"/>
      <c r="N1043" s="187"/>
      <c r="O1043" s="187"/>
      <c r="P1043" s="187"/>
      <c r="Q1043" s="187"/>
      <c r="R1043" s="187"/>
      <c r="S1043" s="188"/>
    </row>
    <row r="1044" spans="2:19" ht="12.75">
      <c r="B1044" s="185"/>
      <c r="C1044" s="186"/>
      <c r="D1044" s="187"/>
      <c r="E1044" s="187"/>
      <c r="F1044" s="187"/>
      <c r="G1044" s="187"/>
      <c r="H1044" s="187"/>
      <c r="I1044" s="187"/>
      <c r="J1044" s="187"/>
      <c r="K1044" s="187"/>
      <c r="L1044" s="187"/>
      <c r="M1044" s="187"/>
      <c r="N1044" s="187"/>
      <c r="O1044" s="187"/>
      <c r="P1044" s="187"/>
      <c r="Q1044" s="187"/>
      <c r="R1044" s="187"/>
      <c r="S1044" s="188"/>
    </row>
    <row r="1045" spans="2:19" ht="12.75">
      <c r="B1045" s="185"/>
      <c r="C1045" s="186"/>
      <c r="D1045" s="187"/>
      <c r="E1045" s="187"/>
      <c r="F1045" s="187"/>
      <c r="G1045" s="187"/>
      <c r="H1045" s="187"/>
      <c r="I1045" s="187"/>
      <c r="J1045" s="187"/>
      <c r="K1045" s="187"/>
      <c r="L1045" s="187"/>
      <c r="M1045" s="187"/>
      <c r="N1045" s="187"/>
      <c r="O1045" s="187"/>
      <c r="P1045" s="187"/>
      <c r="Q1045" s="187"/>
      <c r="R1045" s="187"/>
      <c r="S1045" s="188"/>
    </row>
    <row r="1046" spans="2:19" ht="12.75">
      <c r="B1046" s="185"/>
      <c r="C1046" s="186"/>
      <c r="D1046" s="187"/>
      <c r="E1046" s="187"/>
      <c r="F1046" s="187"/>
      <c r="G1046" s="187"/>
      <c r="H1046" s="187"/>
      <c r="I1046" s="187"/>
      <c r="J1046" s="187"/>
      <c r="K1046" s="187"/>
      <c r="L1046" s="187"/>
      <c r="M1046" s="187"/>
      <c r="N1046" s="187"/>
      <c r="O1046" s="187"/>
      <c r="P1046" s="187"/>
      <c r="Q1046" s="187"/>
      <c r="R1046" s="187"/>
      <c r="S1046" s="188"/>
    </row>
    <row r="1047" spans="2:19" ht="12.75">
      <c r="B1047" s="185"/>
      <c r="C1047" s="186"/>
      <c r="D1047" s="187"/>
      <c r="E1047" s="187"/>
      <c r="F1047" s="187"/>
      <c r="G1047" s="187"/>
      <c r="H1047" s="187"/>
      <c r="I1047" s="187"/>
      <c r="J1047" s="187"/>
      <c r="K1047" s="187"/>
      <c r="L1047" s="187"/>
      <c r="M1047" s="187"/>
      <c r="N1047" s="187"/>
      <c r="O1047" s="187"/>
      <c r="P1047" s="187"/>
      <c r="Q1047" s="187"/>
      <c r="R1047" s="187"/>
      <c r="S1047" s="188"/>
    </row>
    <row r="1048" spans="2:19" ht="12.75">
      <c r="B1048" s="185"/>
      <c r="C1048" s="186"/>
      <c r="D1048" s="187"/>
      <c r="E1048" s="187"/>
      <c r="F1048" s="187"/>
      <c r="G1048" s="187"/>
      <c r="H1048" s="187"/>
      <c r="I1048" s="187"/>
      <c r="J1048" s="187"/>
      <c r="K1048" s="187"/>
      <c r="L1048" s="187"/>
      <c r="M1048" s="187"/>
      <c r="N1048" s="187"/>
      <c r="O1048" s="187"/>
      <c r="P1048" s="187"/>
      <c r="Q1048" s="187"/>
      <c r="R1048" s="187"/>
      <c r="S1048" s="188"/>
    </row>
    <row r="1049" spans="2:19" ht="12.75">
      <c r="B1049" s="185"/>
      <c r="C1049" s="186"/>
      <c r="D1049" s="187"/>
      <c r="E1049" s="187"/>
      <c r="F1049" s="187"/>
      <c r="G1049" s="187"/>
      <c r="H1049" s="187"/>
      <c r="I1049" s="187"/>
      <c r="J1049" s="187"/>
      <c r="K1049" s="187"/>
      <c r="L1049" s="187"/>
      <c r="M1049" s="187"/>
      <c r="N1049" s="187"/>
      <c r="O1049" s="187"/>
      <c r="P1049" s="187"/>
      <c r="Q1049" s="187"/>
      <c r="R1049" s="187"/>
      <c r="S1049" s="188"/>
    </row>
    <row r="1050" spans="2:19" ht="12.75">
      <c r="B1050" s="185"/>
      <c r="C1050" s="186"/>
      <c r="D1050" s="187"/>
      <c r="E1050" s="187"/>
      <c r="F1050" s="187"/>
      <c r="G1050" s="187"/>
      <c r="H1050" s="187"/>
      <c r="I1050" s="187"/>
      <c r="J1050" s="187"/>
      <c r="K1050" s="187"/>
      <c r="L1050" s="187"/>
      <c r="M1050" s="187"/>
      <c r="N1050" s="187"/>
      <c r="O1050" s="187"/>
      <c r="P1050" s="187"/>
      <c r="Q1050" s="187"/>
      <c r="R1050" s="187"/>
      <c r="S1050" s="188"/>
    </row>
    <row r="1051" spans="2:19" ht="12.75">
      <c r="B1051" s="185"/>
      <c r="C1051" s="186"/>
      <c r="D1051" s="187"/>
      <c r="E1051" s="187"/>
      <c r="F1051" s="187"/>
      <c r="G1051" s="187"/>
      <c r="H1051" s="187"/>
      <c r="I1051" s="187"/>
      <c r="J1051" s="187"/>
      <c r="K1051" s="187"/>
      <c r="L1051" s="187"/>
      <c r="M1051" s="187"/>
      <c r="N1051" s="187"/>
      <c r="O1051" s="187"/>
      <c r="P1051" s="187"/>
      <c r="Q1051" s="187"/>
      <c r="R1051" s="187"/>
      <c r="S1051" s="188"/>
    </row>
    <row r="1052" spans="2:19" ht="12.75">
      <c r="B1052" s="185"/>
      <c r="C1052" s="186"/>
      <c r="D1052" s="187"/>
      <c r="E1052" s="187"/>
      <c r="F1052" s="187"/>
      <c r="G1052" s="187"/>
      <c r="H1052" s="187"/>
      <c r="I1052" s="187"/>
      <c r="J1052" s="187"/>
      <c r="K1052" s="187"/>
      <c r="L1052" s="187"/>
      <c r="M1052" s="187"/>
      <c r="N1052" s="187"/>
      <c r="O1052" s="187"/>
      <c r="P1052" s="187"/>
      <c r="Q1052" s="187"/>
      <c r="R1052" s="187"/>
      <c r="S1052" s="188"/>
    </row>
    <row r="1053" spans="2:19" ht="12.75">
      <c r="B1053" s="185"/>
      <c r="C1053" s="186"/>
      <c r="D1053" s="187"/>
      <c r="E1053" s="187"/>
      <c r="F1053" s="187"/>
      <c r="G1053" s="187"/>
      <c r="H1053" s="187"/>
      <c r="I1053" s="187"/>
      <c r="J1053" s="187"/>
      <c r="K1053" s="187"/>
      <c r="L1053" s="187"/>
      <c r="M1053" s="187"/>
      <c r="N1053" s="187"/>
      <c r="O1053" s="187"/>
      <c r="P1053" s="187"/>
      <c r="Q1053" s="187"/>
      <c r="R1053" s="187"/>
      <c r="S1053" s="188"/>
    </row>
    <row r="1054" spans="2:19" ht="12.75">
      <c r="B1054" s="185"/>
      <c r="C1054" s="186"/>
      <c r="D1054" s="187"/>
      <c r="E1054" s="187"/>
      <c r="F1054" s="187"/>
      <c r="G1054" s="187"/>
      <c r="H1054" s="187"/>
      <c r="I1054" s="187"/>
      <c r="J1054" s="187"/>
      <c r="K1054" s="187"/>
      <c r="L1054" s="187"/>
      <c r="M1054" s="187"/>
      <c r="N1054" s="187"/>
      <c r="O1054" s="187"/>
      <c r="P1054" s="187"/>
      <c r="Q1054" s="187"/>
      <c r="R1054" s="187"/>
      <c r="S1054" s="188"/>
    </row>
    <row r="1055" spans="2:19" ht="12.75">
      <c r="B1055" s="185"/>
      <c r="C1055" s="186"/>
      <c r="D1055" s="187"/>
      <c r="E1055" s="187"/>
      <c r="F1055" s="187"/>
      <c r="G1055" s="187"/>
      <c r="H1055" s="187"/>
      <c r="I1055" s="187"/>
      <c r="J1055" s="187"/>
      <c r="K1055" s="187"/>
      <c r="L1055" s="187"/>
      <c r="M1055" s="187"/>
      <c r="N1055" s="187"/>
      <c r="O1055" s="187"/>
      <c r="P1055" s="187"/>
      <c r="Q1055" s="187"/>
      <c r="R1055" s="187"/>
      <c r="S1055" s="188"/>
    </row>
    <row r="1056" spans="2:19" ht="12.75">
      <c r="B1056" s="185"/>
      <c r="C1056" s="186"/>
      <c r="D1056" s="187"/>
      <c r="E1056" s="187"/>
      <c r="F1056" s="187"/>
      <c r="G1056" s="187"/>
      <c r="H1056" s="187"/>
      <c r="I1056" s="187"/>
      <c r="J1056" s="187"/>
      <c r="K1056" s="187"/>
      <c r="L1056" s="187"/>
      <c r="M1056" s="187"/>
      <c r="N1056" s="187"/>
      <c r="O1056" s="187"/>
      <c r="P1056" s="187"/>
      <c r="Q1056" s="187"/>
      <c r="R1056" s="187"/>
      <c r="S1056" s="188"/>
    </row>
    <row r="1057" spans="2:19" ht="12.75">
      <c r="B1057" s="185"/>
      <c r="C1057" s="186"/>
      <c r="D1057" s="187"/>
      <c r="E1057" s="187"/>
      <c r="F1057" s="187"/>
      <c r="G1057" s="187"/>
      <c r="H1057" s="187"/>
      <c r="I1057" s="187"/>
      <c r="J1057" s="187"/>
      <c r="K1057" s="187"/>
      <c r="L1057" s="187"/>
      <c r="M1057" s="187"/>
      <c r="N1057" s="187"/>
      <c r="O1057" s="187"/>
      <c r="P1057" s="187"/>
      <c r="Q1057" s="187"/>
      <c r="R1057" s="187"/>
      <c r="S1057" s="188"/>
    </row>
    <row r="1058" spans="2:19" ht="12.75">
      <c r="B1058" s="185"/>
      <c r="C1058" s="186"/>
      <c r="D1058" s="187"/>
      <c r="E1058" s="187"/>
      <c r="F1058" s="187"/>
      <c r="G1058" s="187"/>
      <c r="H1058" s="187"/>
      <c r="I1058" s="187"/>
      <c r="J1058" s="187"/>
      <c r="K1058" s="187"/>
      <c r="L1058" s="187"/>
      <c r="M1058" s="187"/>
      <c r="N1058" s="187"/>
      <c r="O1058" s="187"/>
      <c r="P1058" s="187"/>
      <c r="Q1058" s="187"/>
      <c r="R1058" s="187"/>
      <c r="S1058" s="188"/>
    </row>
    <row r="1059" spans="2:19" ht="12.75">
      <c r="B1059" s="185"/>
      <c r="C1059" s="186"/>
      <c r="D1059" s="187"/>
      <c r="E1059" s="187"/>
      <c r="F1059" s="187"/>
      <c r="G1059" s="187"/>
      <c r="H1059" s="187"/>
      <c r="I1059" s="187"/>
      <c r="J1059" s="187"/>
      <c r="K1059" s="187"/>
      <c r="L1059" s="187"/>
      <c r="M1059" s="187"/>
      <c r="N1059" s="187"/>
      <c r="O1059" s="187"/>
      <c r="P1059" s="187"/>
      <c r="Q1059" s="187"/>
      <c r="R1059" s="187"/>
      <c r="S1059" s="188"/>
    </row>
    <row r="1060" spans="2:19" ht="12.75">
      <c r="B1060" s="185"/>
      <c r="C1060" s="186"/>
      <c r="D1060" s="187"/>
      <c r="E1060" s="187"/>
      <c r="F1060" s="187"/>
      <c r="G1060" s="187"/>
      <c r="H1060" s="187"/>
      <c r="I1060" s="187"/>
      <c r="J1060" s="187"/>
      <c r="K1060" s="187"/>
      <c r="L1060" s="187"/>
      <c r="M1060" s="187"/>
      <c r="N1060" s="187"/>
      <c r="O1060" s="187"/>
      <c r="P1060" s="187"/>
      <c r="Q1060" s="187"/>
      <c r="R1060" s="187"/>
      <c r="S1060" s="188"/>
    </row>
    <row r="1061" spans="2:19" ht="12.75">
      <c r="B1061" s="185"/>
      <c r="C1061" s="186"/>
      <c r="D1061" s="187"/>
      <c r="E1061" s="187"/>
      <c r="F1061" s="187"/>
      <c r="G1061" s="187"/>
      <c r="H1061" s="187"/>
      <c r="I1061" s="187"/>
      <c r="J1061" s="187"/>
      <c r="K1061" s="187"/>
      <c r="L1061" s="187"/>
      <c r="M1061" s="187"/>
      <c r="N1061" s="187"/>
      <c r="O1061" s="187"/>
      <c r="P1061" s="187"/>
      <c r="Q1061" s="187"/>
      <c r="R1061" s="187"/>
      <c r="S1061" s="188"/>
    </row>
    <row r="1062" spans="2:19" ht="12.75">
      <c r="B1062" s="185"/>
      <c r="C1062" s="186"/>
      <c r="D1062" s="187"/>
      <c r="E1062" s="187"/>
      <c r="F1062" s="187"/>
      <c r="G1062" s="187"/>
      <c r="H1062" s="187"/>
      <c r="I1062" s="187"/>
      <c r="J1062" s="187"/>
      <c r="K1062" s="187"/>
      <c r="L1062" s="187"/>
      <c r="M1062" s="187"/>
      <c r="N1062" s="187"/>
      <c r="O1062" s="187"/>
      <c r="P1062" s="187"/>
      <c r="Q1062" s="187"/>
      <c r="R1062" s="187"/>
      <c r="S1062" s="188"/>
    </row>
    <row r="1063" spans="2:19" ht="12.75">
      <c r="B1063" s="185"/>
      <c r="C1063" s="186"/>
      <c r="D1063" s="187"/>
      <c r="E1063" s="187"/>
      <c r="F1063" s="187"/>
      <c r="G1063" s="187"/>
      <c r="H1063" s="187"/>
      <c r="I1063" s="187"/>
      <c r="J1063" s="187"/>
      <c r="K1063" s="187"/>
      <c r="L1063" s="187"/>
      <c r="M1063" s="187"/>
      <c r="N1063" s="187"/>
      <c r="O1063" s="187"/>
      <c r="P1063" s="187"/>
      <c r="Q1063" s="187"/>
      <c r="R1063" s="187"/>
      <c r="S1063" s="188"/>
    </row>
    <row r="1064" spans="2:19" ht="12.75">
      <c r="B1064" s="185"/>
      <c r="C1064" s="186"/>
      <c r="D1064" s="187"/>
      <c r="E1064" s="187"/>
      <c r="F1064" s="187"/>
      <c r="G1064" s="187"/>
      <c r="H1064" s="187"/>
      <c r="I1064" s="187"/>
      <c r="J1064" s="187"/>
      <c r="K1064" s="187"/>
      <c r="L1064" s="187"/>
      <c r="M1064" s="187"/>
      <c r="N1064" s="187"/>
      <c r="O1064" s="187"/>
      <c r="P1064" s="187"/>
      <c r="Q1064" s="187"/>
      <c r="R1064" s="187"/>
      <c r="S1064" s="188"/>
    </row>
    <row r="1065" spans="2:19" ht="12.75">
      <c r="B1065" s="185"/>
      <c r="C1065" s="186"/>
      <c r="D1065" s="187"/>
      <c r="E1065" s="187"/>
      <c r="F1065" s="187"/>
      <c r="G1065" s="187"/>
      <c r="H1065" s="187"/>
      <c r="I1065" s="187"/>
      <c r="J1065" s="187"/>
      <c r="K1065" s="187"/>
      <c r="L1065" s="187"/>
      <c r="M1065" s="187"/>
      <c r="N1065" s="187"/>
      <c r="O1065" s="187"/>
      <c r="P1065" s="187"/>
      <c r="Q1065" s="187"/>
      <c r="R1065" s="187"/>
      <c r="S1065" s="188"/>
    </row>
    <row r="1066" spans="2:19" ht="12.75">
      <c r="B1066" s="185"/>
      <c r="C1066" s="186"/>
      <c r="D1066" s="187"/>
      <c r="E1066" s="187"/>
      <c r="F1066" s="187"/>
      <c r="G1066" s="187"/>
      <c r="H1066" s="187"/>
      <c r="I1066" s="187"/>
      <c r="J1066" s="187"/>
      <c r="K1066" s="187"/>
      <c r="L1066" s="187"/>
      <c r="M1066" s="187"/>
      <c r="N1066" s="187"/>
      <c r="O1066" s="187"/>
      <c r="P1066" s="187"/>
      <c r="Q1066" s="187"/>
      <c r="R1066" s="187"/>
      <c r="S1066" s="188"/>
    </row>
    <row r="1067" spans="2:19" ht="12.75">
      <c r="B1067" s="185"/>
      <c r="C1067" s="186"/>
      <c r="D1067" s="187"/>
      <c r="E1067" s="187"/>
      <c r="F1067" s="187"/>
      <c r="G1067" s="187"/>
      <c r="H1067" s="187"/>
      <c r="I1067" s="187"/>
      <c r="J1067" s="187"/>
      <c r="K1067" s="187"/>
      <c r="L1067" s="187"/>
      <c r="M1067" s="187"/>
      <c r="N1067" s="187"/>
      <c r="O1067" s="187"/>
      <c r="P1067" s="187"/>
      <c r="Q1067" s="187"/>
      <c r="R1067" s="187"/>
      <c r="S1067" s="188"/>
    </row>
    <row r="1068" spans="2:19" ht="12.75">
      <c r="B1068" s="185"/>
      <c r="C1068" s="186"/>
      <c r="D1068" s="187"/>
      <c r="E1068" s="187"/>
      <c r="F1068" s="187"/>
      <c r="G1068" s="187"/>
      <c r="H1068" s="187"/>
      <c r="I1068" s="187"/>
      <c r="J1068" s="187"/>
      <c r="K1068" s="187"/>
      <c r="L1068" s="187"/>
      <c r="M1068" s="187"/>
      <c r="N1068" s="187"/>
      <c r="O1068" s="187"/>
      <c r="P1068" s="187"/>
      <c r="Q1068" s="187"/>
      <c r="R1068" s="187"/>
      <c r="S1068" s="188"/>
    </row>
    <row r="1069" spans="2:19" ht="12.75">
      <c r="B1069" s="185"/>
      <c r="C1069" s="186"/>
      <c r="D1069" s="187"/>
      <c r="E1069" s="187"/>
      <c r="F1069" s="187"/>
      <c r="G1069" s="187"/>
      <c r="H1069" s="187"/>
      <c r="I1069" s="187"/>
      <c r="J1069" s="187"/>
      <c r="K1069" s="187"/>
      <c r="L1069" s="187"/>
      <c r="M1069" s="187"/>
      <c r="N1069" s="187"/>
      <c r="O1069" s="187"/>
      <c r="P1069" s="187"/>
      <c r="Q1069" s="187"/>
      <c r="R1069" s="187"/>
      <c r="S1069" s="188"/>
    </row>
    <row r="1070" spans="2:19" ht="12.75">
      <c r="B1070" s="185"/>
      <c r="C1070" s="186"/>
      <c r="D1070" s="187"/>
      <c r="E1070" s="187"/>
      <c r="F1070" s="187"/>
      <c r="G1070" s="187"/>
      <c r="H1070" s="187"/>
      <c r="I1070" s="187"/>
      <c r="J1070" s="187"/>
      <c r="K1070" s="187"/>
      <c r="L1070" s="187"/>
      <c r="M1070" s="187"/>
      <c r="N1070" s="187"/>
      <c r="O1070" s="187"/>
      <c r="P1070" s="187"/>
      <c r="Q1070" s="187"/>
      <c r="R1070" s="187"/>
      <c r="S1070" s="188"/>
    </row>
    <row r="1071" spans="2:19" ht="12.75">
      <c r="B1071" s="185"/>
      <c r="C1071" s="186"/>
      <c r="D1071" s="187"/>
      <c r="E1071" s="187"/>
      <c r="F1071" s="187"/>
      <c r="G1071" s="187"/>
      <c r="H1071" s="187"/>
      <c r="I1071" s="187"/>
      <c r="J1071" s="187"/>
      <c r="K1071" s="187"/>
      <c r="L1071" s="187"/>
      <c r="M1071" s="187"/>
      <c r="N1071" s="187"/>
      <c r="O1071" s="187"/>
      <c r="P1071" s="187"/>
      <c r="Q1071" s="187"/>
      <c r="R1071" s="187"/>
      <c r="S1071" s="188"/>
    </row>
    <row r="1072" spans="2:19" ht="12.75">
      <c r="B1072" s="185"/>
      <c r="C1072" s="186"/>
      <c r="D1072" s="187"/>
      <c r="E1072" s="187"/>
      <c r="F1072" s="187"/>
      <c r="G1072" s="187"/>
      <c r="H1072" s="187"/>
      <c r="I1072" s="187"/>
      <c r="J1072" s="187"/>
      <c r="K1072" s="187"/>
      <c r="L1072" s="187"/>
      <c r="M1072" s="187"/>
      <c r="N1072" s="187"/>
      <c r="O1072" s="187"/>
      <c r="P1072" s="187"/>
      <c r="Q1072" s="187"/>
      <c r="R1072" s="187"/>
      <c r="S1072" s="188"/>
    </row>
    <row r="1073" spans="2:19" ht="12.75">
      <c r="B1073" s="185"/>
      <c r="C1073" s="186"/>
      <c r="D1073" s="187"/>
      <c r="E1073" s="187"/>
      <c r="F1073" s="187"/>
      <c r="G1073" s="187"/>
      <c r="H1073" s="187"/>
      <c r="I1073" s="187"/>
      <c r="J1073" s="187"/>
      <c r="K1073" s="187"/>
      <c r="L1073" s="187"/>
      <c r="M1073" s="187"/>
      <c r="N1073" s="187"/>
      <c r="O1073" s="187"/>
      <c r="P1073" s="187"/>
      <c r="Q1073" s="187"/>
      <c r="R1073" s="187"/>
      <c r="S1073" s="188"/>
    </row>
    <row r="1074" spans="2:19" ht="12.75">
      <c r="B1074" s="185"/>
      <c r="C1074" s="186"/>
      <c r="D1074" s="187"/>
      <c r="E1074" s="187"/>
      <c r="F1074" s="187"/>
      <c r="G1074" s="187"/>
      <c r="H1074" s="187"/>
      <c r="I1074" s="187"/>
      <c r="J1074" s="187"/>
      <c r="K1074" s="187"/>
      <c r="L1074" s="187"/>
      <c r="M1074" s="187"/>
      <c r="N1074" s="187"/>
      <c r="O1074" s="187"/>
      <c r="P1074" s="187"/>
      <c r="Q1074" s="187"/>
      <c r="R1074" s="187"/>
      <c r="S1074" s="188"/>
    </row>
    <row r="1075" spans="2:19" ht="12.75">
      <c r="B1075" s="185"/>
      <c r="C1075" s="186"/>
      <c r="D1075" s="187"/>
      <c r="E1075" s="187"/>
      <c r="F1075" s="187"/>
      <c r="G1075" s="187"/>
      <c r="H1075" s="187"/>
      <c r="I1075" s="187"/>
      <c r="J1075" s="187"/>
      <c r="K1075" s="187"/>
      <c r="L1075" s="187"/>
      <c r="M1075" s="187"/>
      <c r="N1075" s="187"/>
      <c r="O1075" s="187"/>
      <c r="P1075" s="187"/>
      <c r="Q1075" s="187"/>
      <c r="R1075" s="187"/>
      <c r="S1075" s="188"/>
    </row>
    <row r="1076" spans="2:19" ht="12.75">
      <c r="B1076" s="185"/>
      <c r="C1076" s="186"/>
      <c r="D1076" s="187"/>
      <c r="E1076" s="187"/>
      <c r="F1076" s="187"/>
      <c r="G1076" s="187"/>
      <c r="H1076" s="187"/>
      <c r="I1076" s="187"/>
      <c r="J1076" s="187"/>
      <c r="K1076" s="187"/>
      <c r="L1076" s="187"/>
      <c r="M1076" s="187"/>
      <c r="N1076" s="187"/>
      <c r="O1076" s="187"/>
      <c r="P1076" s="187"/>
      <c r="Q1076" s="187"/>
      <c r="R1076" s="187"/>
      <c r="S1076" s="188"/>
    </row>
    <row r="1077" spans="2:19" ht="12.75">
      <c r="B1077" s="185"/>
      <c r="C1077" s="186"/>
      <c r="D1077" s="187"/>
      <c r="E1077" s="187"/>
      <c r="F1077" s="187"/>
      <c r="G1077" s="187"/>
      <c r="H1077" s="187"/>
      <c r="I1077" s="187"/>
      <c r="J1077" s="187"/>
      <c r="K1077" s="187"/>
      <c r="L1077" s="187"/>
      <c r="M1077" s="187"/>
      <c r="N1077" s="187"/>
      <c r="O1077" s="187"/>
      <c r="P1077" s="187"/>
      <c r="Q1077" s="187"/>
      <c r="R1077" s="187"/>
      <c r="S1077" s="188"/>
    </row>
    <row r="1078" spans="2:19" ht="12.75">
      <c r="B1078" s="185"/>
      <c r="C1078" s="186"/>
      <c r="D1078" s="187"/>
      <c r="E1078" s="187"/>
      <c r="F1078" s="187"/>
      <c r="G1078" s="187"/>
      <c r="H1078" s="187"/>
      <c r="I1078" s="187"/>
      <c r="J1078" s="187"/>
      <c r="K1078" s="187"/>
      <c r="L1078" s="187"/>
      <c r="M1078" s="187"/>
      <c r="N1078" s="187"/>
      <c r="O1078" s="187"/>
      <c r="P1078" s="187"/>
      <c r="Q1078" s="187"/>
      <c r="R1078" s="187"/>
      <c r="S1078" s="188"/>
    </row>
    <row r="1079" spans="2:19" ht="12.75">
      <c r="B1079" s="185"/>
      <c r="C1079" s="186"/>
      <c r="D1079" s="187"/>
      <c r="E1079" s="187"/>
      <c r="F1079" s="187"/>
      <c r="G1079" s="187"/>
      <c r="H1079" s="187"/>
      <c r="I1079" s="187"/>
      <c r="J1079" s="187"/>
      <c r="K1079" s="187"/>
      <c r="L1079" s="187"/>
      <c r="M1079" s="187"/>
      <c r="N1079" s="187"/>
      <c r="O1079" s="187"/>
      <c r="P1079" s="187"/>
      <c r="Q1079" s="187"/>
      <c r="R1079" s="187"/>
      <c r="S1079" s="188"/>
    </row>
    <row r="1080" spans="2:19" ht="12.75">
      <c r="B1080" s="185"/>
      <c r="C1080" s="186"/>
      <c r="D1080" s="187"/>
      <c r="E1080" s="187"/>
      <c r="F1080" s="187"/>
      <c r="G1080" s="187"/>
      <c r="H1080" s="187"/>
      <c r="I1080" s="187"/>
      <c r="J1080" s="187"/>
      <c r="K1080" s="187"/>
      <c r="L1080" s="187"/>
      <c r="M1080" s="187"/>
      <c r="N1080" s="187"/>
      <c r="O1080" s="187"/>
      <c r="P1080" s="187"/>
      <c r="Q1080" s="187"/>
      <c r="R1080" s="187"/>
      <c r="S1080" s="188"/>
    </row>
    <row r="1081" spans="2:19" ht="12.75">
      <c r="B1081" s="185"/>
      <c r="C1081" s="186"/>
      <c r="D1081" s="187"/>
      <c r="E1081" s="187"/>
      <c r="F1081" s="187"/>
      <c r="G1081" s="187"/>
      <c r="H1081" s="187"/>
      <c r="I1081" s="187"/>
      <c r="J1081" s="187"/>
      <c r="K1081" s="187"/>
      <c r="L1081" s="187"/>
      <c r="M1081" s="187"/>
      <c r="N1081" s="187"/>
      <c r="O1081" s="187"/>
      <c r="P1081" s="187"/>
      <c r="Q1081" s="187"/>
      <c r="R1081" s="187"/>
      <c r="S1081" s="188"/>
    </row>
    <row r="1082" spans="2:19" ht="12.75">
      <c r="B1082" s="185"/>
      <c r="C1082" s="186"/>
      <c r="D1082" s="187"/>
      <c r="E1082" s="187"/>
      <c r="F1082" s="187"/>
      <c r="G1082" s="187"/>
      <c r="H1082" s="187"/>
      <c r="I1082" s="187"/>
      <c r="J1082" s="187"/>
      <c r="K1082" s="187"/>
      <c r="L1082" s="187"/>
      <c r="M1082" s="187"/>
      <c r="N1082" s="187"/>
      <c r="O1082" s="187"/>
      <c r="P1082" s="187"/>
      <c r="Q1082" s="187"/>
      <c r="R1082" s="187"/>
      <c r="S1082" s="188"/>
    </row>
    <row r="1083" spans="2:19" ht="12.75">
      <c r="B1083" s="185"/>
      <c r="C1083" s="186"/>
      <c r="D1083" s="187"/>
      <c r="E1083" s="187"/>
      <c r="F1083" s="187"/>
      <c r="G1083" s="187"/>
      <c r="H1083" s="187"/>
      <c r="I1083" s="187"/>
      <c r="J1083" s="187"/>
      <c r="K1083" s="187"/>
      <c r="L1083" s="187"/>
      <c r="M1083" s="187"/>
      <c r="N1083" s="187"/>
      <c r="O1083" s="187"/>
      <c r="P1083" s="187"/>
      <c r="Q1083" s="187"/>
      <c r="R1083" s="187"/>
      <c r="S1083" s="188"/>
    </row>
    <row r="1084" spans="2:19" ht="12.75">
      <c r="B1084" s="185"/>
      <c r="C1084" s="186"/>
      <c r="D1084" s="187"/>
      <c r="E1084" s="187"/>
      <c r="F1084" s="187"/>
      <c r="G1084" s="187"/>
      <c r="H1084" s="187"/>
      <c r="I1084" s="187"/>
      <c r="J1084" s="187"/>
      <c r="K1084" s="187"/>
      <c r="L1084" s="187"/>
      <c r="M1084" s="187"/>
      <c r="N1084" s="187"/>
      <c r="O1084" s="187"/>
      <c r="P1084" s="187"/>
      <c r="Q1084" s="187"/>
      <c r="R1084" s="187"/>
      <c r="S1084" s="188"/>
    </row>
    <row r="1085" spans="2:19" ht="12.75">
      <c r="B1085" s="185"/>
      <c r="C1085" s="186"/>
      <c r="D1085" s="187"/>
      <c r="E1085" s="187"/>
      <c r="F1085" s="187"/>
      <c r="G1085" s="187"/>
      <c r="H1085" s="187"/>
      <c r="I1085" s="187"/>
      <c r="J1085" s="187"/>
      <c r="K1085" s="187"/>
      <c r="L1085" s="187"/>
      <c r="M1085" s="187"/>
      <c r="N1085" s="187"/>
      <c r="O1085" s="187"/>
      <c r="P1085" s="187"/>
      <c r="Q1085" s="187"/>
      <c r="R1085" s="187"/>
      <c r="S1085" s="188"/>
    </row>
    <row r="1086" spans="2:19" ht="12.75">
      <c r="B1086" s="185"/>
      <c r="C1086" s="186"/>
      <c r="D1086" s="187"/>
      <c r="E1086" s="187"/>
      <c r="F1086" s="187"/>
      <c r="G1086" s="187"/>
      <c r="H1086" s="187"/>
      <c r="I1086" s="187"/>
      <c r="J1086" s="187"/>
      <c r="K1086" s="187"/>
      <c r="L1086" s="187"/>
      <c r="M1086" s="187"/>
      <c r="N1086" s="187"/>
      <c r="O1086" s="187"/>
      <c r="P1086" s="187"/>
      <c r="Q1086" s="187"/>
      <c r="R1086" s="187"/>
      <c r="S1086" s="188"/>
    </row>
    <row r="1087" spans="2:19" ht="12.75">
      <c r="B1087" s="185"/>
      <c r="C1087" s="186"/>
      <c r="D1087" s="187"/>
      <c r="E1087" s="187"/>
      <c r="F1087" s="187"/>
      <c r="G1087" s="187"/>
      <c r="H1087" s="187"/>
      <c r="I1087" s="187"/>
      <c r="J1087" s="187"/>
      <c r="K1087" s="187"/>
      <c r="L1087" s="187"/>
      <c r="M1087" s="187"/>
      <c r="N1087" s="187"/>
      <c r="O1087" s="187"/>
      <c r="P1087" s="187"/>
      <c r="Q1087" s="187"/>
      <c r="R1087" s="187"/>
      <c r="S1087" s="188"/>
    </row>
    <row r="1088" spans="2:19" ht="12.75">
      <c r="B1088" s="185"/>
      <c r="C1088" s="186"/>
      <c r="D1088" s="187"/>
      <c r="E1088" s="187"/>
      <c r="F1088" s="187"/>
      <c r="G1088" s="187"/>
      <c r="H1088" s="187"/>
      <c r="I1088" s="187"/>
      <c r="J1088" s="187"/>
      <c r="K1088" s="187"/>
      <c r="L1088" s="187"/>
      <c r="M1088" s="187"/>
      <c r="N1088" s="187"/>
      <c r="O1088" s="187"/>
      <c r="P1088" s="187"/>
      <c r="Q1088" s="187"/>
      <c r="R1088" s="187"/>
      <c r="S1088" s="188"/>
    </row>
    <row r="1089" spans="2:19" ht="12.75">
      <c r="B1089" s="185"/>
      <c r="C1089" s="186"/>
      <c r="D1089" s="187"/>
      <c r="E1089" s="187"/>
      <c r="F1089" s="187"/>
      <c r="G1089" s="187"/>
      <c r="H1089" s="187"/>
      <c r="I1089" s="187"/>
      <c r="J1089" s="187"/>
      <c r="K1089" s="187"/>
      <c r="L1089" s="187"/>
      <c r="M1089" s="187"/>
      <c r="N1089" s="187"/>
      <c r="O1089" s="187"/>
      <c r="P1089" s="187"/>
      <c r="Q1089" s="187"/>
      <c r="R1089" s="187"/>
      <c r="S1089" s="188"/>
    </row>
    <row r="1090" spans="2:19" ht="12.75">
      <c r="B1090" s="185"/>
      <c r="C1090" s="186"/>
      <c r="D1090" s="187"/>
      <c r="E1090" s="187"/>
      <c r="F1090" s="187"/>
      <c r="G1090" s="187"/>
      <c r="H1090" s="187"/>
      <c r="I1090" s="187"/>
      <c r="J1090" s="187"/>
      <c r="K1090" s="187"/>
      <c r="L1090" s="187"/>
      <c r="M1090" s="187"/>
      <c r="N1090" s="187"/>
      <c r="O1090" s="187"/>
      <c r="P1090" s="187"/>
      <c r="Q1090" s="187"/>
      <c r="R1090" s="187"/>
      <c r="S1090" s="188"/>
    </row>
    <row r="1091" spans="2:19" ht="12.75">
      <c r="B1091" s="185"/>
      <c r="C1091" s="186"/>
      <c r="D1091" s="187"/>
      <c r="E1091" s="187"/>
      <c r="F1091" s="187"/>
      <c r="G1091" s="187"/>
      <c r="H1091" s="187"/>
      <c r="I1091" s="187"/>
      <c r="J1091" s="187"/>
      <c r="K1091" s="187"/>
      <c r="L1091" s="187"/>
      <c r="M1091" s="187"/>
      <c r="N1091" s="187"/>
      <c r="O1091" s="187"/>
      <c r="P1091" s="187"/>
      <c r="Q1091" s="187"/>
      <c r="R1091" s="187"/>
      <c r="S1091" s="188"/>
    </row>
    <row r="1092" spans="2:19" ht="12.75">
      <c r="B1092" s="185"/>
      <c r="C1092" s="186"/>
      <c r="D1092" s="187"/>
      <c r="E1092" s="187"/>
      <c r="F1092" s="187"/>
      <c r="G1092" s="187"/>
      <c r="H1092" s="187"/>
      <c r="I1092" s="187"/>
      <c r="J1092" s="187"/>
      <c r="K1092" s="187"/>
      <c r="L1092" s="187"/>
      <c r="M1092" s="187"/>
      <c r="N1092" s="187"/>
      <c r="O1092" s="187"/>
      <c r="P1092" s="187"/>
      <c r="Q1092" s="187"/>
      <c r="R1092" s="187"/>
      <c r="S1092" s="188"/>
    </row>
    <row r="1093" spans="2:19" ht="12.75">
      <c r="B1093" s="185"/>
      <c r="C1093" s="186"/>
      <c r="D1093" s="187"/>
      <c r="E1093" s="187"/>
      <c r="F1093" s="187"/>
      <c r="G1093" s="187"/>
      <c r="H1093" s="187"/>
      <c r="I1093" s="187"/>
      <c r="J1093" s="187"/>
      <c r="K1093" s="187"/>
      <c r="L1093" s="187"/>
      <c r="M1093" s="187"/>
      <c r="N1093" s="187"/>
      <c r="O1093" s="187"/>
      <c r="P1093" s="187"/>
      <c r="Q1093" s="187"/>
      <c r="R1093" s="187"/>
      <c r="S1093" s="188"/>
    </row>
    <row r="1094" spans="2:19" ht="12.75">
      <c r="B1094" s="185"/>
      <c r="C1094" s="186"/>
      <c r="D1094" s="187"/>
      <c r="E1094" s="187"/>
      <c r="F1094" s="187"/>
      <c r="G1094" s="187"/>
      <c r="H1094" s="187"/>
      <c r="I1094" s="187"/>
      <c r="J1094" s="187"/>
      <c r="K1094" s="187"/>
      <c r="L1094" s="187"/>
      <c r="M1094" s="187"/>
      <c r="N1094" s="187"/>
      <c r="O1094" s="187"/>
      <c r="P1094" s="187"/>
      <c r="Q1094" s="187"/>
      <c r="R1094" s="187"/>
      <c r="S1094" s="188"/>
    </row>
    <row r="1095" spans="2:19" ht="12.75">
      <c r="B1095" s="185"/>
      <c r="C1095" s="186"/>
      <c r="D1095" s="187"/>
      <c r="E1095" s="187"/>
      <c r="F1095" s="187"/>
      <c r="G1095" s="187"/>
      <c r="H1095" s="187"/>
      <c r="I1095" s="187"/>
      <c r="J1095" s="187"/>
      <c r="K1095" s="187"/>
      <c r="L1095" s="187"/>
      <c r="M1095" s="187"/>
      <c r="N1095" s="187"/>
      <c r="O1095" s="187"/>
      <c r="P1095" s="187"/>
      <c r="Q1095" s="187"/>
      <c r="R1095" s="187"/>
      <c r="S1095" s="188"/>
    </row>
    <row r="1096" spans="2:19" ht="12.75">
      <c r="B1096" s="185"/>
      <c r="C1096" s="186"/>
      <c r="D1096" s="187"/>
      <c r="E1096" s="187"/>
      <c r="F1096" s="187"/>
      <c r="G1096" s="187"/>
      <c r="H1096" s="187"/>
      <c r="I1096" s="187"/>
      <c r="J1096" s="187"/>
      <c r="K1096" s="187"/>
      <c r="L1096" s="187"/>
      <c r="M1096" s="187"/>
      <c r="N1096" s="187"/>
      <c r="O1096" s="187"/>
      <c r="P1096" s="187"/>
      <c r="Q1096" s="187"/>
      <c r="R1096" s="187"/>
      <c r="S1096" s="188"/>
    </row>
    <row r="1097" spans="2:19" ht="12.75">
      <c r="B1097" s="185"/>
      <c r="C1097" s="186"/>
      <c r="D1097" s="187"/>
      <c r="E1097" s="187"/>
      <c r="F1097" s="187"/>
      <c r="G1097" s="187"/>
      <c r="H1097" s="187"/>
      <c r="I1097" s="187"/>
      <c r="J1097" s="187"/>
      <c r="K1097" s="187"/>
      <c r="L1097" s="187"/>
      <c r="M1097" s="187"/>
      <c r="N1097" s="187"/>
      <c r="O1097" s="187"/>
      <c r="P1097" s="187"/>
      <c r="Q1097" s="187"/>
      <c r="R1097" s="187"/>
      <c r="S1097" s="188"/>
    </row>
    <row r="1098" spans="2:19" ht="12.75">
      <c r="B1098" s="185"/>
      <c r="C1098" s="186"/>
      <c r="D1098" s="187"/>
      <c r="E1098" s="187"/>
      <c r="F1098" s="187"/>
      <c r="G1098" s="187"/>
      <c r="H1098" s="187"/>
      <c r="I1098" s="187"/>
      <c r="J1098" s="187"/>
      <c r="K1098" s="187"/>
      <c r="L1098" s="187"/>
      <c r="M1098" s="187"/>
      <c r="N1098" s="187"/>
      <c r="O1098" s="187"/>
      <c r="P1098" s="187"/>
      <c r="Q1098" s="187"/>
      <c r="R1098" s="187"/>
      <c r="S1098" s="188"/>
    </row>
    <row r="1099" spans="2:19" ht="12.75">
      <c r="B1099" s="185"/>
      <c r="C1099" s="186"/>
      <c r="D1099" s="187"/>
      <c r="E1099" s="187"/>
      <c r="F1099" s="187"/>
      <c r="G1099" s="187"/>
      <c r="H1099" s="187"/>
      <c r="I1099" s="187"/>
      <c r="J1099" s="187"/>
      <c r="K1099" s="187"/>
      <c r="L1099" s="187"/>
      <c r="M1099" s="187"/>
      <c r="N1099" s="187"/>
      <c r="O1099" s="187"/>
      <c r="P1099" s="187"/>
      <c r="Q1099" s="187"/>
      <c r="R1099" s="187"/>
      <c r="S1099" s="188"/>
    </row>
    <row r="1100" spans="2:19" ht="12.75">
      <c r="B1100" s="185"/>
      <c r="C1100" s="186"/>
      <c r="D1100" s="187"/>
      <c r="E1100" s="187"/>
      <c r="F1100" s="187"/>
      <c r="G1100" s="187"/>
      <c r="H1100" s="187"/>
      <c r="I1100" s="187"/>
      <c r="J1100" s="187"/>
      <c r="K1100" s="187"/>
      <c r="L1100" s="187"/>
      <c r="M1100" s="187"/>
      <c r="N1100" s="187"/>
      <c r="O1100" s="187"/>
      <c r="P1100" s="187"/>
      <c r="Q1100" s="187"/>
      <c r="R1100" s="187"/>
      <c r="S1100" s="188"/>
    </row>
    <row r="1101" spans="2:19" ht="12.75">
      <c r="B1101" s="185"/>
      <c r="C1101" s="186"/>
      <c r="D1101" s="187"/>
      <c r="E1101" s="187"/>
      <c r="F1101" s="187"/>
      <c r="G1101" s="187"/>
      <c r="H1101" s="187"/>
      <c r="I1101" s="187"/>
      <c r="J1101" s="187"/>
      <c r="K1101" s="187"/>
      <c r="L1101" s="187"/>
      <c r="M1101" s="187"/>
      <c r="N1101" s="187"/>
      <c r="O1101" s="187"/>
      <c r="P1101" s="187"/>
      <c r="Q1101" s="187"/>
      <c r="R1101" s="187"/>
      <c r="S1101" s="188"/>
    </row>
    <row r="1102" spans="2:19" ht="12.75">
      <c r="B1102" s="185"/>
      <c r="C1102" s="186"/>
      <c r="D1102" s="187"/>
      <c r="E1102" s="187"/>
      <c r="F1102" s="187"/>
      <c r="G1102" s="187"/>
      <c r="H1102" s="187"/>
      <c r="I1102" s="187"/>
      <c r="J1102" s="187"/>
      <c r="K1102" s="187"/>
      <c r="L1102" s="187"/>
      <c r="M1102" s="187"/>
      <c r="N1102" s="187"/>
      <c r="O1102" s="187"/>
      <c r="P1102" s="187"/>
      <c r="Q1102" s="187"/>
      <c r="R1102" s="187"/>
      <c r="S1102" s="188"/>
    </row>
    <row r="1103" spans="2:19" ht="12.75">
      <c r="B1103" s="185"/>
      <c r="C1103" s="186"/>
      <c r="D1103" s="187"/>
      <c r="E1103" s="187"/>
      <c r="F1103" s="187"/>
      <c r="G1103" s="187"/>
      <c r="H1103" s="187"/>
      <c r="I1103" s="187"/>
      <c r="J1103" s="187"/>
      <c r="K1103" s="187"/>
      <c r="L1103" s="187"/>
      <c r="M1103" s="187"/>
      <c r="N1103" s="187"/>
      <c r="O1103" s="187"/>
      <c r="P1103" s="187"/>
      <c r="Q1103" s="187"/>
      <c r="R1103" s="187"/>
      <c r="S1103" s="188"/>
    </row>
    <row r="1104" spans="2:19" ht="12.75">
      <c r="B1104" s="185"/>
      <c r="C1104" s="186"/>
      <c r="D1104" s="187"/>
      <c r="E1104" s="187"/>
      <c r="F1104" s="187"/>
      <c r="G1104" s="187"/>
      <c r="H1104" s="187"/>
      <c r="I1104" s="187"/>
      <c r="J1104" s="187"/>
      <c r="K1104" s="187"/>
      <c r="L1104" s="187"/>
      <c r="M1104" s="187"/>
      <c r="N1104" s="187"/>
      <c r="O1104" s="187"/>
      <c r="P1104" s="187"/>
      <c r="Q1104" s="187"/>
      <c r="R1104" s="187"/>
      <c r="S1104" s="188"/>
    </row>
    <row r="1105" spans="2:19" ht="12.75">
      <c r="B1105" s="185"/>
      <c r="C1105" s="186"/>
      <c r="D1105" s="187"/>
      <c r="E1105" s="187"/>
      <c r="F1105" s="187"/>
      <c r="G1105" s="187"/>
      <c r="H1105" s="187"/>
      <c r="I1105" s="187"/>
      <c r="J1105" s="187"/>
      <c r="K1105" s="187"/>
      <c r="L1105" s="187"/>
      <c r="M1105" s="187"/>
      <c r="N1105" s="187"/>
      <c r="O1105" s="187"/>
      <c r="P1105" s="187"/>
      <c r="Q1105" s="187"/>
      <c r="R1105" s="187"/>
      <c r="S1105" s="188"/>
    </row>
    <row r="1106" spans="2:19" ht="12.75">
      <c r="B1106" s="185"/>
      <c r="C1106" s="186"/>
      <c r="D1106" s="187"/>
      <c r="E1106" s="187"/>
      <c r="F1106" s="187"/>
      <c r="G1106" s="187"/>
      <c r="H1106" s="187"/>
      <c r="I1106" s="187"/>
      <c r="J1106" s="187"/>
      <c r="K1106" s="187"/>
      <c r="L1106" s="187"/>
      <c r="M1106" s="187"/>
      <c r="N1106" s="187"/>
      <c r="O1106" s="187"/>
      <c r="P1106" s="187"/>
      <c r="Q1106" s="187"/>
      <c r="R1106" s="187"/>
      <c r="S1106" s="188"/>
    </row>
    <row r="1107" spans="2:19" ht="12.75">
      <c r="B1107" s="185"/>
      <c r="C1107" s="186"/>
      <c r="D1107" s="187"/>
      <c r="E1107" s="187"/>
      <c r="F1107" s="187"/>
      <c r="G1107" s="187"/>
      <c r="H1107" s="187"/>
      <c r="I1107" s="187"/>
      <c r="J1107" s="187"/>
      <c r="K1107" s="187"/>
      <c r="L1107" s="187"/>
      <c r="M1107" s="187"/>
      <c r="N1107" s="187"/>
      <c r="O1107" s="187"/>
      <c r="P1107" s="187"/>
      <c r="Q1107" s="187"/>
      <c r="R1107" s="187"/>
      <c r="S1107" s="188"/>
    </row>
    <row r="1108" spans="2:19" ht="12.75">
      <c r="B1108" s="185"/>
      <c r="C1108" s="186"/>
      <c r="D1108" s="187"/>
      <c r="E1108" s="187"/>
      <c r="F1108" s="187"/>
      <c r="G1108" s="187"/>
      <c r="H1108" s="187"/>
      <c r="I1108" s="187"/>
      <c r="J1108" s="187"/>
      <c r="K1108" s="187"/>
      <c r="L1108" s="187"/>
      <c r="M1108" s="187"/>
      <c r="N1108" s="187"/>
      <c r="O1108" s="187"/>
      <c r="P1108" s="187"/>
      <c r="Q1108" s="187"/>
      <c r="R1108" s="187"/>
      <c r="S1108" s="188"/>
    </row>
    <row r="1109" spans="2:19" ht="12.75">
      <c r="B1109" s="185"/>
      <c r="C1109" s="186"/>
      <c r="D1109" s="187"/>
      <c r="E1109" s="187"/>
      <c r="F1109" s="187"/>
      <c r="G1109" s="187"/>
      <c r="H1109" s="187"/>
      <c r="I1109" s="187"/>
      <c r="J1109" s="187"/>
      <c r="K1109" s="187"/>
      <c r="L1109" s="187"/>
      <c r="M1109" s="187"/>
      <c r="N1109" s="187"/>
      <c r="O1109" s="187"/>
      <c r="P1109" s="187"/>
      <c r="Q1109" s="187"/>
      <c r="R1109" s="187"/>
      <c r="S1109" s="188"/>
    </row>
    <row r="1110" spans="2:19" ht="12.75">
      <c r="B1110" s="185"/>
      <c r="C1110" s="186"/>
      <c r="D1110" s="187"/>
      <c r="E1110" s="187"/>
      <c r="F1110" s="187"/>
      <c r="G1110" s="187"/>
      <c r="H1110" s="187"/>
      <c r="I1110" s="187"/>
      <c r="J1110" s="187"/>
      <c r="K1110" s="187"/>
      <c r="L1110" s="187"/>
      <c r="M1110" s="187"/>
      <c r="N1110" s="187"/>
      <c r="O1110" s="187"/>
      <c r="P1110" s="187"/>
      <c r="Q1110" s="187"/>
      <c r="R1110" s="187"/>
      <c r="S1110" s="188"/>
    </row>
    <row r="1111" spans="2:19" ht="12.75">
      <c r="B1111" s="185"/>
      <c r="C1111" s="186"/>
      <c r="D1111" s="187"/>
      <c r="E1111" s="187"/>
      <c r="F1111" s="187"/>
      <c r="G1111" s="187"/>
      <c r="H1111" s="187"/>
      <c r="I1111" s="187"/>
      <c r="J1111" s="187"/>
      <c r="K1111" s="187"/>
      <c r="L1111" s="187"/>
      <c r="M1111" s="187"/>
      <c r="N1111" s="187"/>
      <c r="O1111" s="187"/>
      <c r="P1111" s="187"/>
      <c r="Q1111" s="187"/>
      <c r="R1111" s="187"/>
      <c r="S1111" s="188"/>
    </row>
    <row r="1112" spans="2:19" ht="12.75">
      <c r="B1112" s="185"/>
      <c r="C1112" s="186"/>
      <c r="D1112" s="187"/>
      <c r="E1112" s="187"/>
      <c r="F1112" s="187"/>
      <c r="G1112" s="187"/>
      <c r="H1112" s="187"/>
      <c r="I1112" s="187"/>
      <c r="J1112" s="187"/>
      <c r="K1112" s="187"/>
      <c r="L1112" s="187"/>
      <c r="M1112" s="187"/>
      <c r="N1112" s="187"/>
      <c r="O1112" s="187"/>
      <c r="P1112" s="187"/>
      <c r="Q1112" s="187"/>
      <c r="R1112" s="187"/>
      <c r="S1112" s="188"/>
    </row>
    <row r="1113" spans="2:19" ht="12.75">
      <c r="B1113" s="185"/>
      <c r="C1113" s="186"/>
      <c r="D1113" s="187"/>
      <c r="E1113" s="187"/>
      <c r="F1113" s="187"/>
      <c r="G1113" s="187"/>
      <c r="H1113" s="187"/>
      <c r="I1113" s="187"/>
      <c r="J1113" s="187"/>
      <c r="K1113" s="187"/>
      <c r="L1113" s="187"/>
      <c r="M1113" s="187"/>
      <c r="N1113" s="187"/>
      <c r="O1113" s="187"/>
      <c r="P1113" s="187"/>
      <c r="Q1113" s="187"/>
      <c r="R1113" s="187"/>
      <c r="S1113" s="188"/>
    </row>
    <row r="1114" spans="2:19" ht="12.75">
      <c r="B1114" s="185"/>
      <c r="C1114" s="186"/>
      <c r="D1114" s="187"/>
      <c r="E1114" s="187"/>
      <c r="F1114" s="187"/>
      <c r="G1114" s="187"/>
      <c r="H1114" s="187"/>
      <c r="I1114" s="187"/>
      <c r="J1114" s="187"/>
      <c r="K1114" s="187"/>
      <c r="L1114" s="187"/>
      <c r="M1114" s="187"/>
      <c r="N1114" s="187"/>
      <c r="O1114" s="187"/>
      <c r="P1114" s="187"/>
      <c r="Q1114" s="187"/>
      <c r="R1114" s="187"/>
      <c r="S1114" s="188"/>
    </row>
    <row r="1115" spans="2:19" ht="12.75">
      <c r="B1115" s="185"/>
      <c r="C1115" s="186"/>
      <c r="D1115" s="187"/>
      <c r="E1115" s="187"/>
      <c r="F1115" s="187"/>
      <c r="G1115" s="187"/>
      <c r="H1115" s="187"/>
      <c r="I1115" s="187"/>
      <c r="J1115" s="187"/>
      <c r="K1115" s="187"/>
      <c r="L1115" s="187"/>
      <c r="M1115" s="187"/>
      <c r="N1115" s="187"/>
      <c r="O1115" s="187"/>
      <c r="P1115" s="187"/>
      <c r="Q1115" s="187"/>
      <c r="R1115" s="187"/>
      <c r="S1115" s="188"/>
    </row>
    <row r="1116" spans="2:19" ht="12.75">
      <c r="B1116" s="185"/>
      <c r="C1116" s="186"/>
      <c r="D1116" s="187"/>
      <c r="E1116" s="187"/>
      <c r="F1116" s="187"/>
      <c r="G1116" s="187"/>
      <c r="H1116" s="187"/>
      <c r="I1116" s="187"/>
      <c r="J1116" s="187"/>
      <c r="K1116" s="187"/>
      <c r="L1116" s="187"/>
      <c r="M1116" s="187"/>
      <c r="N1116" s="187"/>
      <c r="O1116" s="187"/>
      <c r="P1116" s="187"/>
      <c r="Q1116" s="187"/>
      <c r="R1116" s="187"/>
      <c r="S1116" s="188"/>
    </row>
    <row r="1117" spans="2:19" ht="12.75">
      <c r="B1117" s="185"/>
      <c r="C1117" s="186"/>
      <c r="D1117" s="187"/>
      <c r="E1117" s="187"/>
      <c r="F1117" s="187"/>
      <c r="G1117" s="187"/>
      <c r="H1117" s="187"/>
      <c r="I1117" s="187"/>
      <c r="J1117" s="187"/>
      <c r="K1117" s="187"/>
      <c r="L1117" s="187"/>
      <c r="M1117" s="187"/>
      <c r="N1117" s="187"/>
      <c r="O1117" s="187"/>
      <c r="P1117" s="187"/>
      <c r="Q1117" s="187"/>
      <c r="R1117" s="187"/>
      <c r="S1117" s="188"/>
    </row>
    <row r="1118" spans="2:19" ht="12.75">
      <c r="B1118" s="185"/>
      <c r="C1118" s="186"/>
      <c r="D1118" s="187"/>
      <c r="E1118" s="187"/>
      <c r="F1118" s="187"/>
      <c r="G1118" s="187"/>
      <c r="H1118" s="187"/>
      <c r="I1118" s="187"/>
      <c r="J1118" s="187"/>
      <c r="K1118" s="187"/>
      <c r="L1118" s="187"/>
      <c r="M1118" s="187"/>
      <c r="N1118" s="187"/>
      <c r="O1118" s="187"/>
      <c r="P1118" s="187"/>
      <c r="Q1118" s="187"/>
      <c r="R1118" s="187"/>
      <c r="S1118" s="188"/>
    </row>
    <row r="1119" spans="2:19" ht="12.75">
      <c r="B1119" s="185"/>
      <c r="C1119" s="186"/>
      <c r="D1119" s="187"/>
      <c r="E1119" s="187"/>
      <c r="F1119" s="187"/>
      <c r="G1119" s="187"/>
      <c r="H1119" s="187"/>
      <c r="I1119" s="187"/>
      <c r="J1119" s="187"/>
      <c r="K1119" s="187"/>
      <c r="L1119" s="187"/>
      <c r="M1119" s="187"/>
      <c r="N1119" s="187"/>
      <c r="O1119" s="187"/>
      <c r="P1119" s="187"/>
      <c r="Q1119" s="187"/>
      <c r="R1119" s="187"/>
      <c r="S1119" s="188"/>
    </row>
    <row r="1120" spans="2:19" ht="12.75">
      <c r="B1120" s="185"/>
      <c r="C1120" s="186"/>
      <c r="D1120" s="187"/>
      <c r="E1120" s="187"/>
      <c r="F1120" s="187"/>
      <c r="G1120" s="187"/>
      <c r="H1120" s="187"/>
      <c r="I1120" s="187"/>
      <c r="J1120" s="187"/>
      <c r="K1120" s="187"/>
      <c r="L1120" s="187"/>
      <c r="M1120" s="187"/>
      <c r="N1120" s="187"/>
      <c r="O1120" s="187"/>
      <c r="P1120" s="187"/>
      <c r="Q1120" s="187"/>
      <c r="R1120" s="187"/>
      <c r="S1120" s="188"/>
    </row>
    <row r="1121" spans="2:19" ht="12.75">
      <c r="B1121" s="185"/>
      <c r="C1121" s="186"/>
      <c r="D1121" s="187"/>
      <c r="E1121" s="187"/>
      <c r="F1121" s="187"/>
      <c r="G1121" s="187"/>
      <c r="H1121" s="187"/>
      <c r="I1121" s="187"/>
      <c r="J1121" s="187"/>
      <c r="K1121" s="187"/>
      <c r="L1121" s="187"/>
      <c r="M1121" s="187"/>
      <c r="N1121" s="187"/>
      <c r="O1121" s="187"/>
      <c r="P1121" s="187"/>
      <c r="Q1121" s="187"/>
      <c r="R1121" s="187"/>
      <c r="S1121" s="188"/>
    </row>
    <row r="1122" spans="2:19" ht="12.75">
      <c r="B1122" s="185"/>
      <c r="C1122" s="186"/>
      <c r="D1122" s="187"/>
      <c r="E1122" s="187"/>
      <c r="F1122" s="187"/>
      <c r="G1122" s="187"/>
      <c r="H1122" s="187"/>
      <c r="I1122" s="187"/>
      <c r="J1122" s="187"/>
      <c r="K1122" s="187"/>
      <c r="L1122" s="187"/>
      <c r="M1122" s="187"/>
      <c r="N1122" s="187"/>
      <c r="O1122" s="187"/>
      <c r="P1122" s="187"/>
      <c r="Q1122" s="187"/>
      <c r="R1122" s="187"/>
      <c r="S1122" s="188"/>
    </row>
    <row r="1123" spans="2:19" ht="12.75">
      <c r="B1123" s="185"/>
      <c r="C1123" s="186"/>
      <c r="D1123" s="187"/>
      <c r="E1123" s="187"/>
      <c r="F1123" s="187"/>
      <c r="G1123" s="187"/>
      <c r="H1123" s="187"/>
      <c r="I1123" s="187"/>
      <c r="J1123" s="187"/>
      <c r="K1123" s="187"/>
      <c r="L1123" s="187"/>
      <c r="M1123" s="187"/>
      <c r="N1123" s="187"/>
      <c r="O1123" s="187"/>
      <c r="P1123" s="187"/>
      <c r="Q1123" s="187"/>
      <c r="R1123" s="187"/>
      <c r="S1123" s="188"/>
    </row>
    <row r="1124" spans="2:19" ht="12.75">
      <c r="B1124" s="185"/>
      <c r="C1124" s="186"/>
      <c r="D1124" s="187"/>
      <c r="E1124" s="187"/>
      <c r="F1124" s="187"/>
      <c r="G1124" s="187"/>
      <c r="H1124" s="187"/>
      <c r="I1124" s="187"/>
      <c r="J1124" s="187"/>
      <c r="K1124" s="187"/>
      <c r="L1124" s="187"/>
      <c r="M1124" s="187"/>
      <c r="N1124" s="187"/>
      <c r="O1124" s="187"/>
      <c r="P1124" s="187"/>
      <c r="Q1124" s="187"/>
      <c r="R1124" s="187"/>
      <c r="S1124" s="188"/>
    </row>
    <row r="1125" spans="2:19" ht="12.75">
      <c r="B1125" s="185"/>
      <c r="C1125" s="186"/>
      <c r="D1125" s="187"/>
      <c r="E1125" s="187"/>
      <c r="F1125" s="187"/>
      <c r="G1125" s="187"/>
      <c r="H1125" s="187"/>
      <c r="I1125" s="187"/>
      <c r="J1125" s="187"/>
      <c r="K1125" s="187"/>
      <c r="L1125" s="187"/>
      <c r="M1125" s="187"/>
      <c r="N1125" s="187"/>
      <c r="O1125" s="187"/>
      <c r="P1125" s="187"/>
      <c r="Q1125" s="187"/>
      <c r="R1125" s="187"/>
      <c r="S1125" s="188"/>
    </row>
    <row r="1126" spans="2:19" ht="12.75">
      <c r="B1126" s="185"/>
      <c r="C1126" s="186"/>
      <c r="D1126" s="187"/>
      <c r="E1126" s="187"/>
      <c r="F1126" s="187"/>
      <c r="G1126" s="187"/>
      <c r="H1126" s="187"/>
      <c r="I1126" s="187"/>
      <c r="J1126" s="187"/>
      <c r="K1126" s="187"/>
      <c r="L1126" s="187"/>
      <c r="M1126" s="187"/>
      <c r="N1126" s="187"/>
      <c r="O1126" s="187"/>
      <c r="P1126" s="187"/>
      <c r="Q1126" s="187"/>
      <c r="R1126" s="187"/>
      <c r="S1126" s="188"/>
    </row>
    <row r="1127" spans="2:19" ht="12.75">
      <c r="B1127" s="185"/>
      <c r="C1127" s="186"/>
      <c r="D1127" s="187"/>
      <c r="E1127" s="187"/>
      <c r="F1127" s="187"/>
      <c r="G1127" s="187"/>
      <c r="H1127" s="187"/>
      <c r="I1127" s="187"/>
      <c r="J1127" s="187"/>
      <c r="K1127" s="187"/>
      <c r="L1127" s="187"/>
      <c r="M1127" s="187"/>
      <c r="N1127" s="187"/>
      <c r="O1127" s="187"/>
      <c r="P1127" s="187"/>
      <c r="Q1127" s="187"/>
      <c r="R1127" s="187"/>
      <c r="S1127" s="188"/>
    </row>
    <row r="1128" spans="2:19" ht="12.75">
      <c r="B1128" s="185"/>
      <c r="C1128" s="186"/>
      <c r="D1128" s="187"/>
      <c r="E1128" s="187"/>
      <c r="F1128" s="187"/>
      <c r="G1128" s="187"/>
      <c r="H1128" s="187"/>
      <c r="I1128" s="187"/>
      <c r="J1128" s="187"/>
      <c r="K1128" s="187"/>
      <c r="L1128" s="187"/>
      <c r="M1128" s="187"/>
      <c r="N1128" s="187"/>
      <c r="O1128" s="187"/>
      <c r="P1128" s="187"/>
      <c r="Q1128" s="187"/>
      <c r="R1128" s="187"/>
      <c r="S1128" s="188"/>
    </row>
    <row r="1129" spans="2:19" ht="12.75">
      <c r="B1129" s="185"/>
      <c r="C1129" s="186"/>
      <c r="D1129" s="187"/>
      <c r="E1129" s="187"/>
      <c r="F1129" s="187"/>
      <c r="G1129" s="187"/>
      <c r="H1129" s="187"/>
      <c r="I1129" s="187"/>
      <c r="J1129" s="187"/>
      <c r="K1129" s="187"/>
      <c r="L1129" s="187"/>
      <c r="M1129" s="187"/>
      <c r="N1129" s="187"/>
      <c r="O1129" s="187"/>
      <c r="P1129" s="187"/>
      <c r="Q1129" s="187"/>
      <c r="R1129" s="187"/>
      <c r="S1129" s="188"/>
    </row>
    <row r="1130" spans="2:19" ht="12.75">
      <c r="B1130" s="185"/>
      <c r="C1130" s="186"/>
      <c r="D1130" s="187"/>
      <c r="E1130" s="187"/>
      <c r="F1130" s="187"/>
      <c r="G1130" s="187"/>
      <c r="H1130" s="187"/>
      <c r="I1130" s="187"/>
      <c r="J1130" s="187"/>
      <c r="K1130" s="187"/>
      <c r="L1130" s="187"/>
      <c r="M1130" s="187"/>
      <c r="N1130" s="187"/>
      <c r="O1130" s="187"/>
      <c r="P1130" s="187"/>
      <c r="Q1130" s="187"/>
      <c r="R1130" s="187"/>
      <c r="S1130" s="188"/>
    </row>
    <row r="1131" spans="2:19" ht="12.75">
      <c r="B1131" s="185"/>
      <c r="C1131" s="186"/>
      <c r="D1131" s="187"/>
      <c r="E1131" s="187"/>
      <c r="F1131" s="187"/>
      <c r="G1131" s="187"/>
      <c r="H1131" s="187"/>
      <c r="I1131" s="187"/>
      <c r="J1131" s="187"/>
      <c r="K1131" s="187"/>
      <c r="L1131" s="187"/>
      <c r="M1131" s="187"/>
      <c r="N1131" s="187"/>
      <c r="O1131" s="187"/>
      <c r="P1131" s="187"/>
      <c r="Q1131" s="187"/>
      <c r="R1131" s="187"/>
      <c r="S1131" s="188"/>
    </row>
    <row r="1132" spans="2:19" ht="12.75">
      <c r="B1132" s="185"/>
      <c r="C1132" s="186"/>
      <c r="D1132" s="187"/>
      <c r="E1132" s="187"/>
      <c r="F1132" s="187"/>
      <c r="G1132" s="187"/>
      <c r="H1132" s="187"/>
      <c r="I1132" s="187"/>
      <c r="J1132" s="187"/>
      <c r="K1132" s="187"/>
      <c r="L1132" s="187"/>
      <c r="M1132" s="187"/>
      <c r="N1132" s="187"/>
      <c r="O1132" s="187"/>
      <c r="P1132" s="187"/>
      <c r="Q1132" s="187"/>
      <c r="R1132" s="187"/>
      <c r="S1132" s="188"/>
    </row>
    <row r="1133" spans="2:19" ht="12.75">
      <c r="B1133" s="185"/>
      <c r="C1133" s="186"/>
      <c r="D1133" s="187"/>
      <c r="E1133" s="187"/>
      <c r="F1133" s="187"/>
      <c r="G1133" s="187"/>
      <c r="H1133" s="187"/>
      <c r="I1133" s="187"/>
      <c r="J1133" s="187"/>
      <c r="K1133" s="187"/>
      <c r="L1133" s="187"/>
      <c r="M1133" s="187"/>
      <c r="N1133" s="187"/>
      <c r="O1133" s="187"/>
      <c r="P1133" s="187"/>
      <c r="Q1133" s="187"/>
      <c r="R1133" s="187"/>
      <c r="S1133" s="188"/>
    </row>
    <row r="1134" spans="2:19" ht="12.75">
      <c r="B1134" s="185"/>
      <c r="C1134" s="186"/>
      <c r="D1134" s="187"/>
      <c r="E1134" s="187"/>
      <c r="F1134" s="187"/>
      <c r="G1134" s="187"/>
      <c r="H1134" s="187"/>
      <c r="I1134" s="187"/>
      <c r="J1134" s="187"/>
      <c r="K1134" s="187"/>
      <c r="L1134" s="187"/>
      <c r="M1134" s="187"/>
      <c r="N1134" s="187"/>
      <c r="O1134" s="187"/>
      <c r="P1134" s="187"/>
      <c r="Q1134" s="187"/>
      <c r="R1134" s="187"/>
      <c r="S1134" s="188"/>
    </row>
    <row r="1135" spans="2:19" ht="12.75">
      <c r="B1135" s="185"/>
      <c r="C1135" s="186"/>
      <c r="D1135" s="187"/>
      <c r="E1135" s="187"/>
      <c r="F1135" s="187"/>
      <c r="G1135" s="187"/>
      <c r="H1135" s="187"/>
      <c r="I1135" s="187"/>
      <c r="J1135" s="187"/>
      <c r="K1135" s="187"/>
      <c r="L1135" s="187"/>
      <c r="M1135" s="187"/>
      <c r="N1135" s="187"/>
      <c r="O1135" s="187"/>
      <c r="P1135" s="187"/>
      <c r="Q1135" s="187"/>
      <c r="R1135" s="187"/>
      <c r="S1135" s="188"/>
    </row>
    <row r="1136" spans="2:19" ht="12.75">
      <c r="B1136" s="185"/>
      <c r="C1136" s="186"/>
      <c r="D1136" s="187"/>
      <c r="E1136" s="187"/>
      <c r="F1136" s="187"/>
      <c r="G1136" s="187"/>
      <c r="H1136" s="187"/>
      <c r="I1136" s="187"/>
      <c r="J1136" s="187"/>
      <c r="K1136" s="187"/>
      <c r="L1136" s="187"/>
      <c r="M1136" s="187"/>
      <c r="N1136" s="187"/>
      <c r="O1136" s="187"/>
      <c r="P1136" s="187"/>
      <c r="Q1136" s="187"/>
      <c r="R1136" s="187"/>
      <c r="S1136" s="188"/>
    </row>
    <row r="1137" spans="2:19" ht="12.75">
      <c r="B1137" s="185"/>
      <c r="C1137" s="186"/>
      <c r="D1137" s="187"/>
      <c r="E1137" s="187"/>
      <c r="F1137" s="187"/>
      <c r="G1137" s="187"/>
      <c r="H1137" s="187"/>
      <c r="I1137" s="187"/>
      <c r="J1137" s="187"/>
      <c r="K1137" s="187"/>
      <c r="L1137" s="187"/>
      <c r="M1137" s="187"/>
      <c r="N1137" s="187"/>
      <c r="O1137" s="187"/>
      <c r="P1137" s="187"/>
      <c r="Q1137" s="187"/>
      <c r="R1137" s="187"/>
      <c r="S1137" s="188"/>
    </row>
    <row r="1138" spans="2:19" ht="12.75">
      <c r="B1138" s="185"/>
      <c r="C1138" s="186"/>
      <c r="D1138" s="187"/>
      <c r="E1138" s="187"/>
      <c r="F1138" s="187"/>
      <c r="G1138" s="187"/>
      <c r="H1138" s="187"/>
      <c r="I1138" s="187"/>
      <c r="J1138" s="187"/>
      <c r="K1138" s="187"/>
      <c r="L1138" s="187"/>
      <c r="M1138" s="187"/>
      <c r="N1138" s="187"/>
      <c r="O1138" s="187"/>
      <c r="P1138" s="187"/>
      <c r="Q1138" s="187"/>
      <c r="R1138" s="187"/>
      <c r="S1138" s="188"/>
    </row>
    <row r="1139" spans="2:19" ht="12.75">
      <c r="B1139" s="185"/>
      <c r="C1139" s="186"/>
      <c r="D1139" s="187"/>
      <c r="E1139" s="187"/>
      <c r="F1139" s="187"/>
      <c r="G1139" s="187"/>
      <c r="H1139" s="187"/>
      <c r="I1139" s="187"/>
      <c r="J1139" s="187"/>
      <c r="K1139" s="187"/>
      <c r="L1139" s="187"/>
      <c r="M1139" s="187"/>
      <c r="N1139" s="187"/>
      <c r="O1139" s="187"/>
      <c r="P1139" s="187"/>
      <c r="Q1139" s="187"/>
      <c r="R1139" s="187"/>
      <c r="S1139" s="188"/>
    </row>
    <row r="1140" spans="2:19" ht="12.75">
      <c r="B1140" s="185"/>
      <c r="C1140" s="186"/>
      <c r="D1140" s="187"/>
      <c r="E1140" s="187"/>
      <c r="F1140" s="187"/>
      <c r="G1140" s="187"/>
      <c r="H1140" s="187"/>
      <c r="I1140" s="187"/>
      <c r="J1140" s="187"/>
      <c r="K1140" s="187"/>
      <c r="L1140" s="187"/>
      <c r="M1140" s="187"/>
      <c r="N1140" s="187"/>
      <c r="O1140" s="187"/>
      <c r="P1140" s="187"/>
      <c r="Q1140" s="187"/>
      <c r="R1140" s="187"/>
      <c r="S1140" s="188"/>
    </row>
    <row r="1141" spans="2:19" ht="12.75">
      <c r="B1141" s="185"/>
      <c r="C1141" s="186"/>
      <c r="D1141" s="187"/>
      <c r="E1141" s="187"/>
      <c r="F1141" s="187"/>
      <c r="G1141" s="187"/>
      <c r="H1141" s="187"/>
      <c r="I1141" s="187"/>
      <c r="J1141" s="187"/>
      <c r="K1141" s="187"/>
      <c r="L1141" s="187"/>
      <c r="M1141" s="187"/>
      <c r="N1141" s="187"/>
      <c r="O1141" s="187"/>
      <c r="P1141" s="187"/>
      <c r="Q1141" s="187"/>
      <c r="R1141" s="187"/>
      <c r="S1141" s="188"/>
    </row>
    <row r="1142" spans="2:19" ht="12.75">
      <c r="B1142" s="185"/>
      <c r="C1142" s="186"/>
      <c r="D1142" s="187"/>
      <c r="E1142" s="187"/>
      <c r="F1142" s="187"/>
      <c r="G1142" s="187"/>
      <c r="H1142" s="187"/>
      <c r="I1142" s="187"/>
      <c r="J1142" s="187"/>
      <c r="K1142" s="187"/>
      <c r="L1142" s="187"/>
      <c r="M1142" s="187"/>
      <c r="N1142" s="187"/>
      <c r="O1142" s="187"/>
      <c r="P1142" s="187"/>
      <c r="Q1142" s="187"/>
      <c r="R1142" s="187"/>
      <c r="S1142" s="188"/>
    </row>
    <row r="1143" spans="2:19" ht="12.75">
      <c r="B1143" s="185"/>
      <c r="C1143" s="186"/>
      <c r="D1143" s="187"/>
      <c r="E1143" s="187"/>
      <c r="F1143" s="187"/>
      <c r="G1143" s="187"/>
      <c r="H1143" s="187"/>
      <c r="I1143" s="187"/>
      <c r="J1143" s="187"/>
      <c r="K1143" s="187"/>
      <c r="L1143" s="187"/>
      <c r="M1143" s="187"/>
      <c r="N1143" s="187"/>
      <c r="O1143" s="187"/>
      <c r="P1143" s="187"/>
      <c r="Q1143" s="187"/>
      <c r="R1143" s="187"/>
      <c r="S1143" s="188"/>
    </row>
    <row r="1144" spans="2:19" ht="12.75">
      <c r="B1144" s="185"/>
      <c r="C1144" s="186"/>
      <c r="D1144" s="187"/>
      <c r="E1144" s="187"/>
      <c r="F1144" s="187"/>
      <c r="G1144" s="187"/>
      <c r="H1144" s="187"/>
      <c r="I1144" s="187"/>
      <c r="J1144" s="187"/>
      <c r="K1144" s="187"/>
      <c r="L1144" s="187"/>
      <c r="M1144" s="187"/>
      <c r="N1144" s="187"/>
      <c r="O1144" s="187"/>
      <c r="P1144" s="187"/>
      <c r="Q1144" s="187"/>
      <c r="R1144" s="187"/>
      <c r="S1144" s="188"/>
    </row>
    <row r="1145" spans="2:19" ht="12.75">
      <c r="B1145" s="185"/>
      <c r="C1145" s="186"/>
      <c r="D1145" s="187"/>
      <c r="E1145" s="187"/>
      <c r="F1145" s="187"/>
      <c r="G1145" s="187"/>
      <c r="H1145" s="187"/>
      <c r="I1145" s="187"/>
      <c r="J1145" s="187"/>
      <c r="K1145" s="187"/>
      <c r="L1145" s="187"/>
      <c r="M1145" s="187"/>
      <c r="N1145" s="187"/>
      <c r="O1145" s="187"/>
      <c r="P1145" s="187"/>
      <c r="Q1145" s="187"/>
      <c r="R1145" s="187"/>
      <c r="S1145" s="188"/>
    </row>
    <row r="1146" spans="2:19" ht="12.75">
      <c r="B1146" s="185"/>
      <c r="C1146" s="186"/>
      <c r="D1146" s="187"/>
      <c r="E1146" s="187"/>
      <c r="F1146" s="187"/>
      <c r="G1146" s="187"/>
      <c r="H1146" s="187"/>
      <c r="I1146" s="187"/>
      <c r="J1146" s="187"/>
      <c r="K1146" s="187"/>
      <c r="L1146" s="187"/>
      <c r="M1146" s="187"/>
      <c r="N1146" s="187"/>
      <c r="O1146" s="187"/>
      <c r="P1146" s="187"/>
      <c r="Q1146" s="187"/>
      <c r="R1146" s="187"/>
      <c r="S1146" s="188"/>
    </row>
    <row r="1147" spans="2:19" ht="12.75">
      <c r="B1147" s="185"/>
      <c r="C1147" s="186"/>
      <c r="D1147" s="187"/>
      <c r="E1147" s="187"/>
      <c r="F1147" s="187"/>
      <c r="G1147" s="187"/>
      <c r="H1147" s="187"/>
      <c r="I1147" s="187"/>
      <c r="J1147" s="187"/>
      <c r="K1147" s="187"/>
      <c r="L1147" s="187"/>
      <c r="M1147" s="187"/>
      <c r="N1147" s="187"/>
      <c r="O1147" s="187"/>
      <c r="P1147" s="187"/>
      <c r="Q1147" s="187"/>
      <c r="R1147" s="187"/>
      <c r="S1147" s="188"/>
    </row>
    <row r="1148" spans="2:19" ht="12.75">
      <c r="B1148" s="185"/>
      <c r="C1148" s="186"/>
      <c r="D1148" s="187"/>
      <c r="E1148" s="187"/>
      <c r="F1148" s="187"/>
      <c r="G1148" s="187"/>
      <c r="H1148" s="187"/>
      <c r="I1148" s="187"/>
      <c r="J1148" s="187"/>
      <c r="K1148" s="187"/>
      <c r="L1148" s="187"/>
      <c r="M1148" s="187"/>
      <c r="N1148" s="187"/>
      <c r="O1148" s="187"/>
      <c r="P1148" s="187"/>
      <c r="Q1148" s="187"/>
      <c r="R1148" s="187"/>
      <c r="S1148" s="188"/>
    </row>
    <row r="1149" spans="2:19" ht="12.75">
      <c r="B1149" s="185"/>
      <c r="C1149" s="186"/>
      <c r="D1149" s="187"/>
      <c r="E1149" s="187"/>
      <c r="F1149" s="187"/>
      <c r="G1149" s="187"/>
      <c r="H1149" s="187"/>
      <c r="I1149" s="187"/>
      <c r="J1149" s="187"/>
      <c r="K1149" s="187"/>
      <c r="L1149" s="187"/>
      <c r="M1149" s="187"/>
      <c r="N1149" s="187"/>
      <c r="O1149" s="187"/>
      <c r="P1149" s="187"/>
      <c r="Q1149" s="187"/>
      <c r="R1149" s="187"/>
      <c r="S1149" s="188"/>
    </row>
    <row r="1150" spans="2:19" ht="12.75">
      <c r="B1150" s="185"/>
      <c r="C1150" s="186"/>
      <c r="D1150" s="187"/>
      <c r="E1150" s="187"/>
      <c r="F1150" s="187"/>
      <c r="G1150" s="187"/>
      <c r="H1150" s="187"/>
      <c r="I1150" s="187"/>
      <c r="J1150" s="187"/>
      <c r="K1150" s="187"/>
      <c r="L1150" s="187"/>
      <c r="M1150" s="187"/>
      <c r="N1150" s="187"/>
      <c r="O1150" s="187"/>
      <c r="P1150" s="187"/>
      <c r="Q1150" s="187"/>
      <c r="R1150" s="187"/>
      <c r="S1150" s="188"/>
    </row>
    <row r="1151" spans="2:19" ht="12.75">
      <c r="B1151" s="185"/>
      <c r="C1151" s="186"/>
      <c r="D1151" s="187"/>
      <c r="E1151" s="187"/>
      <c r="F1151" s="187"/>
      <c r="G1151" s="187"/>
      <c r="H1151" s="187"/>
      <c r="I1151" s="187"/>
      <c r="J1151" s="187"/>
      <c r="K1151" s="187"/>
      <c r="L1151" s="187"/>
      <c r="M1151" s="187"/>
      <c r="N1151" s="187"/>
      <c r="O1151" s="187"/>
      <c r="P1151" s="187"/>
      <c r="Q1151" s="187"/>
      <c r="R1151" s="187"/>
      <c r="S1151" s="188"/>
    </row>
    <row r="1152" spans="2:19" ht="12.75">
      <c r="B1152" s="185"/>
      <c r="C1152" s="186"/>
      <c r="D1152" s="187"/>
      <c r="E1152" s="187"/>
      <c r="F1152" s="187"/>
      <c r="G1152" s="187"/>
      <c r="H1152" s="187"/>
      <c r="I1152" s="187"/>
      <c r="J1152" s="187"/>
      <c r="K1152" s="187"/>
      <c r="L1152" s="187"/>
      <c r="M1152" s="187"/>
      <c r="N1152" s="187"/>
      <c r="O1152" s="187"/>
      <c r="P1152" s="187"/>
      <c r="Q1152" s="187"/>
      <c r="R1152" s="187"/>
      <c r="S1152" s="188"/>
    </row>
    <row r="1153" spans="2:19" ht="12.75">
      <c r="B1153" s="185"/>
      <c r="C1153" s="186"/>
      <c r="D1153" s="187"/>
      <c r="E1153" s="187"/>
      <c r="F1153" s="187"/>
      <c r="G1153" s="187"/>
      <c r="H1153" s="187"/>
      <c r="I1153" s="187"/>
      <c r="J1153" s="187"/>
      <c r="K1153" s="187"/>
      <c r="L1153" s="187"/>
      <c r="M1153" s="187"/>
      <c r="N1153" s="187"/>
      <c r="O1153" s="187"/>
      <c r="P1153" s="187"/>
      <c r="Q1153" s="187"/>
      <c r="R1153" s="187"/>
      <c r="S1153" s="188"/>
    </row>
    <row r="1154" spans="2:19" ht="12.75">
      <c r="B1154" s="185"/>
      <c r="C1154" s="186"/>
      <c r="D1154" s="187"/>
      <c r="E1154" s="187"/>
      <c r="F1154" s="187"/>
      <c r="G1154" s="187"/>
      <c r="H1154" s="187"/>
      <c r="I1154" s="187"/>
      <c r="J1154" s="187"/>
      <c r="K1154" s="187"/>
      <c r="L1154" s="187"/>
      <c r="M1154" s="187"/>
      <c r="N1154" s="187"/>
      <c r="O1154" s="187"/>
      <c r="P1154" s="187"/>
      <c r="Q1154" s="187"/>
      <c r="R1154" s="187"/>
      <c r="S1154" s="188"/>
    </row>
    <row r="1155" spans="2:19" ht="12.75">
      <c r="B1155" s="185"/>
      <c r="C1155" s="186"/>
      <c r="D1155" s="187"/>
      <c r="E1155" s="187"/>
      <c r="F1155" s="187"/>
      <c r="G1155" s="187"/>
      <c r="H1155" s="187"/>
      <c r="I1155" s="187"/>
      <c r="J1155" s="187"/>
      <c r="K1155" s="187"/>
      <c r="L1155" s="187"/>
      <c r="M1155" s="187"/>
      <c r="N1155" s="187"/>
      <c r="O1155" s="187"/>
      <c r="P1155" s="187"/>
      <c r="Q1155" s="187"/>
      <c r="R1155" s="187"/>
      <c r="S1155" s="188"/>
    </row>
    <row r="1156" spans="2:19" ht="12.75">
      <c r="B1156" s="185"/>
      <c r="C1156" s="186"/>
      <c r="D1156" s="187"/>
      <c r="E1156" s="187"/>
      <c r="F1156" s="187"/>
      <c r="G1156" s="187"/>
      <c r="H1156" s="187"/>
      <c r="I1156" s="187"/>
      <c r="J1156" s="187"/>
      <c r="K1156" s="187"/>
      <c r="L1156" s="187"/>
      <c r="M1156" s="187"/>
      <c r="N1156" s="187"/>
      <c r="O1156" s="187"/>
      <c r="P1156" s="187"/>
      <c r="Q1156" s="187"/>
      <c r="R1156" s="187"/>
      <c r="S1156" s="188"/>
    </row>
    <row r="1157" spans="2:19" ht="12.75">
      <c r="B1157" s="185"/>
      <c r="C1157" s="186"/>
      <c r="D1157" s="187"/>
      <c r="E1157" s="187"/>
      <c r="F1157" s="187"/>
      <c r="G1157" s="187"/>
      <c r="H1157" s="187"/>
      <c r="I1157" s="187"/>
      <c r="J1157" s="187"/>
      <c r="K1157" s="187"/>
      <c r="L1157" s="187"/>
      <c r="M1157" s="187"/>
      <c r="N1157" s="187"/>
      <c r="O1157" s="187"/>
      <c r="P1157" s="187"/>
      <c r="Q1157" s="187"/>
      <c r="R1157" s="187"/>
      <c r="S1157" s="188"/>
    </row>
    <row r="1158" spans="2:19" ht="12.75">
      <c r="B1158" s="185"/>
      <c r="C1158" s="186"/>
      <c r="D1158" s="187"/>
      <c r="E1158" s="187"/>
      <c r="F1158" s="187"/>
      <c r="G1158" s="187"/>
      <c r="H1158" s="187"/>
      <c r="I1158" s="187"/>
      <c r="J1158" s="187"/>
      <c r="K1158" s="187"/>
      <c r="L1158" s="187"/>
      <c r="M1158" s="187"/>
      <c r="N1158" s="187"/>
      <c r="O1158" s="187"/>
      <c r="P1158" s="187"/>
      <c r="Q1158" s="187"/>
      <c r="R1158" s="187"/>
      <c r="S1158" s="188"/>
    </row>
    <row r="1159" spans="2:19" ht="12.75">
      <c r="B1159" s="185"/>
      <c r="C1159" s="186"/>
      <c r="D1159" s="187"/>
      <c r="E1159" s="187"/>
      <c r="F1159" s="187"/>
      <c r="G1159" s="187"/>
      <c r="H1159" s="187"/>
      <c r="I1159" s="187"/>
      <c r="J1159" s="187"/>
      <c r="K1159" s="187"/>
      <c r="L1159" s="187"/>
      <c r="M1159" s="187"/>
      <c r="N1159" s="187"/>
      <c r="O1159" s="187"/>
      <c r="P1159" s="187"/>
      <c r="Q1159" s="187"/>
      <c r="R1159" s="187"/>
      <c r="S1159" s="188"/>
    </row>
    <row r="1160" spans="2:19" ht="12.75">
      <c r="B1160" s="185"/>
      <c r="C1160" s="186"/>
      <c r="D1160" s="187"/>
      <c r="E1160" s="187"/>
      <c r="F1160" s="187"/>
      <c r="G1160" s="187"/>
      <c r="H1160" s="187"/>
      <c r="I1160" s="187"/>
      <c r="J1160" s="187"/>
      <c r="K1160" s="187"/>
      <c r="L1160" s="187"/>
      <c r="M1160" s="187"/>
      <c r="N1160" s="187"/>
      <c r="O1160" s="187"/>
      <c r="P1160" s="187"/>
      <c r="Q1160" s="187"/>
      <c r="R1160" s="187"/>
      <c r="S1160" s="188"/>
    </row>
    <row r="1161" spans="2:19" ht="12.75">
      <c r="B1161" s="185"/>
      <c r="C1161" s="186"/>
      <c r="D1161" s="187"/>
      <c r="E1161" s="187"/>
      <c r="F1161" s="187"/>
      <c r="G1161" s="187"/>
      <c r="H1161" s="187"/>
      <c r="I1161" s="187"/>
      <c r="J1161" s="187"/>
      <c r="K1161" s="187"/>
      <c r="L1161" s="187"/>
      <c r="M1161" s="187"/>
      <c r="N1161" s="187"/>
      <c r="O1161" s="187"/>
      <c r="P1161" s="187"/>
      <c r="Q1161" s="187"/>
      <c r="R1161" s="187"/>
      <c r="S1161" s="188"/>
    </row>
    <row r="1162" spans="2:19" ht="12.75">
      <c r="B1162" s="185"/>
      <c r="C1162" s="186"/>
      <c r="D1162" s="187"/>
      <c r="E1162" s="187"/>
      <c r="F1162" s="187"/>
      <c r="G1162" s="187"/>
      <c r="H1162" s="187"/>
      <c r="I1162" s="187"/>
      <c r="J1162" s="187"/>
      <c r="K1162" s="187"/>
      <c r="L1162" s="187"/>
      <c r="M1162" s="187"/>
      <c r="N1162" s="187"/>
      <c r="O1162" s="187"/>
      <c r="P1162" s="187"/>
      <c r="Q1162" s="187"/>
      <c r="R1162" s="187"/>
      <c r="S1162" s="188"/>
    </row>
    <row r="1163" spans="2:19" ht="12.75">
      <c r="B1163" s="185"/>
      <c r="C1163" s="186"/>
      <c r="D1163" s="187"/>
      <c r="E1163" s="187"/>
      <c r="F1163" s="187"/>
      <c r="G1163" s="187"/>
      <c r="H1163" s="187"/>
      <c r="I1163" s="187"/>
      <c r="J1163" s="187"/>
      <c r="K1163" s="187"/>
      <c r="L1163" s="187"/>
      <c r="M1163" s="187"/>
      <c r="N1163" s="187"/>
      <c r="O1163" s="187"/>
      <c r="P1163" s="187"/>
      <c r="Q1163" s="187"/>
      <c r="R1163" s="187"/>
      <c r="S1163" s="188"/>
    </row>
    <row r="1164" spans="2:19" ht="12.75">
      <c r="B1164" s="185"/>
      <c r="C1164" s="186"/>
      <c r="D1164" s="187"/>
      <c r="E1164" s="187"/>
      <c r="F1164" s="187"/>
      <c r="G1164" s="187"/>
      <c r="H1164" s="187"/>
      <c r="I1164" s="187"/>
      <c r="J1164" s="187"/>
      <c r="K1164" s="187"/>
      <c r="L1164" s="187"/>
      <c r="M1164" s="187"/>
      <c r="N1164" s="187"/>
      <c r="O1164" s="187"/>
      <c r="P1164" s="187"/>
      <c r="Q1164" s="187"/>
      <c r="R1164" s="187"/>
      <c r="S1164" s="188"/>
    </row>
    <row r="1165" spans="2:19" ht="12.75">
      <c r="B1165" s="185"/>
      <c r="C1165" s="186"/>
      <c r="D1165" s="187"/>
      <c r="E1165" s="187"/>
      <c r="F1165" s="187"/>
      <c r="G1165" s="187"/>
      <c r="H1165" s="187"/>
      <c r="I1165" s="187"/>
      <c r="J1165" s="187"/>
      <c r="K1165" s="187"/>
      <c r="L1165" s="187"/>
      <c r="M1165" s="187"/>
      <c r="N1165" s="187"/>
      <c r="O1165" s="187"/>
      <c r="P1165" s="187"/>
      <c r="Q1165" s="187"/>
      <c r="R1165" s="187"/>
      <c r="S1165" s="188"/>
    </row>
    <row r="1166" spans="2:19" ht="12.75">
      <c r="B1166" s="185"/>
      <c r="C1166" s="186"/>
      <c r="D1166" s="187"/>
      <c r="E1166" s="187"/>
      <c r="F1166" s="187"/>
      <c r="G1166" s="187"/>
      <c r="H1166" s="187"/>
      <c r="I1166" s="187"/>
      <c r="J1166" s="187"/>
      <c r="K1166" s="187"/>
      <c r="L1166" s="187"/>
      <c r="M1166" s="187"/>
      <c r="N1166" s="187"/>
      <c r="O1166" s="187"/>
      <c r="P1166" s="187"/>
      <c r="Q1166" s="187"/>
      <c r="R1166" s="187"/>
      <c r="S1166" s="188"/>
    </row>
    <row r="1167" spans="2:19" ht="12.75">
      <c r="B1167" s="185"/>
      <c r="C1167" s="186"/>
      <c r="D1167" s="187"/>
      <c r="E1167" s="187"/>
      <c r="F1167" s="187"/>
      <c r="G1167" s="187"/>
      <c r="H1167" s="187"/>
      <c r="I1167" s="187"/>
      <c r="J1167" s="187"/>
      <c r="K1167" s="187"/>
      <c r="L1167" s="187"/>
      <c r="M1167" s="187"/>
      <c r="N1167" s="187"/>
      <c r="O1167" s="187"/>
      <c r="P1167" s="187"/>
      <c r="Q1167" s="187"/>
      <c r="R1167" s="187"/>
      <c r="S1167" s="188"/>
    </row>
    <row r="1168" spans="2:19" ht="12.75">
      <c r="B1168" s="185"/>
      <c r="C1168" s="186"/>
      <c r="D1168" s="187"/>
      <c r="E1168" s="187"/>
      <c r="F1168" s="187"/>
      <c r="G1168" s="187"/>
      <c r="H1168" s="187"/>
      <c r="I1168" s="187"/>
      <c r="J1168" s="187"/>
      <c r="K1168" s="187"/>
      <c r="L1168" s="187"/>
      <c r="M1168" s="187"/>
      <c r="N1168" s="187"/>
      <c r="O1168" s="187"/>
      <c r="P1168" s="187"/>
      <c r="Q1168" s="187"/>
      <c r="R1168" s="187"/>
      <c r="S1168" s="188"/>
    </row>
    <row r="1169" spans="2:19" ht="12.75">
      <c r="B1169" s="185"/>
      <c r="C1169" s="186"/>
      <c r="D1169" s="187"/>
      <c r="E1169" s="187"/>
      <c r="F1169" s="187"/>
      <c r="G1169" s="187"/>
      <c r="H1169" s="187"/>
      <c r="I1169" s="187"/>
      <c r="J1169" s="187"/>
      <c r="K1169" s="187"/>
      <c r="L1169" s="187"/>
      <c r="M1169" s="187"/>
      <c r="N1169" s="187"/>
      <c r="O1169" s="187"/>
      <c r="P1169" s="187"/>
      <c r="Q1169" s="187"/>
      <c r="R1169" s="187"/>
      <c r="S1169" s="188"/>
    </row>
    <row r="1170" spans="2:19" ht="12.75">
      <c r="B1170" s="185"/>
      <c r="C1170" s="186"/>
      <c r="D1170" s="187"/>
      <c r="E1170" s="187"/>
      <c r="F1170" s="187"/>
      <c r="G1170" s="187"/>
      <c r="H1170" s="187"/>
      <c r="I1170" s="187"/>
      <c r="J1170" s="187"/>
      <c r="K1170" s="187"/>
      <c r="L1170" s="187"/>
      <c r="M1170" s="187"/>
      <c r="N1170" s="187"/>
      <c r="O1170" s="187"/>
      <c r="P1170" s="187"/>
      <c r="Q1170" s="187"/>
      <c r="R1170" s="187"/>
      <c r="S1170" s="188"/>
    </row>
    <row r="1171" spans="2:19" ht="12.75">
      <c r="B1171" s="185"/>
      <c r="C1171" s="186"/>
      <c r="D1171" s="187"/>
      <c r="E1171" s="187"/>
      <c r="F1171" s="187"/>
      <c r="G1171" s="187"/>
      <c r="H1171" s="187"/>
      <c r="I1171" s="187"/>
      <c r="J1171" s="187"/>
      <c r="K1171" s="187"/>
      <c r="L1171" s="187"/>
      <c r="M1171" s="187"/>
      <c r="N1171" s="187"/>
      <c r="O1171" s="187"/>
      <c r="P1171" s="187"/>
      <c r="Q1171" s="187"/>
      <c r="R1171" s="187"/>
      <c r="S1171" s="188"/>
    </row>
    <row r="1172" spans="2:19" ht="12.75">
      <c r="B1172" s="185"/>
      <c r="C1172" s="186"/>
      <c r="D1172" s="187"/>
      <c r="E1172" s="187"/>
      <c r="F1172" s="187"/>
      <c r="G1172" s="187"/>
      <c r="H1172" s="187"/>
      <c r="I1172" s="187"/>
      <c r="J1172" s="187"/>
      <c r="K1172" s="187"/>
      <c r="L1172" s="187"/>
      <c r="M1172" s="187"/>
      <c r="N1172" s="187"/>
      <c r="O1172" s="187"/>
      <c r="P1172" s="187"/>
      <c r="Q1172" s="187"/>
      <c r="R1172" s="187"/>
      <c r="S1172" s="188"/>
    </row>
    <row r="1173" spans="2:19" ht="12.75">
      <c r="B1173" s="185"/>
      <c r="C1173" s="186"/>
      <c r="D1173" s="187"/>
      <c r="E1173" s="187"/>
      <c r="F1173" s="187"/>
      <c r="G1173" s="187"/>
      <c r="H1173" s="187"/>
      <c r="I1173" s="187"/>
      <c r="J1173" s="187"/>
      <c r="K1173" s="187"/>
      <c r="L1173" s="187"/>
      <c r="M1173" s="187"/>
      <c r="N1173" s="187"/>
      <c r="O1173" s="187"/>
      <c r="P1173" s="187"/>
      <c r="Q1173" s="187"/>
      <c r="R1173" s="187"/>
      <c r="S1173" s="188"/>
    </row>
    <row r="1174" spans="2:19" ht="12.75">
      <c r="B1174" s="185"/>
      <c r="C1174" s="186"/>
      <c r="D1174" s="187"/>
      <c r="E1174" s="187"/>
      <c r="F1174" s="187"/>
      <c r="G1174" s="187"/>
      <c r="H1174" s="187"/>
      <c r="I1174" s="187"/>
      <c r="J1174" s="187"/>
      <c r="K1174" s="187"/>
      <c r="L1174" s="187"/>
      <c r="M1174" s="187"/>
      <c r="N1174" s="187"/>
      <c r="O1174" s="187"/>
      <c r="P1174" s="187"/>
      <c r="Q1174" s="187"/>
      <c r="R1174" s="187"/>
      <c r="S1174" s="188"/>
    </row>
    <row r="1175" spans="2:19" ht="12.75">
      <c r="B1175" s="185"/>
      <c r="C1175" s="186"/>
      <c r="D1175" s="187"/>
      <c r="E1175" s="187"/>
      <c r="F1175" s="187"/>
      <c r="G1175" s="187"/>
      <c r="H1175" s="187"/>
      <c r="I1175" s="187"/>
      <c r="J1175" s="187"/>
      <c r="K1175" s="187"/>
      <c r="L1175" s="187"/>
      <c r="M1175" s="187"/>
      <c r="N1175" s="187"/>
      <c r="O1175" s="187"/>
      <c r="P1175" s="187"/>
      <c r="Q1175" s="187"/>
      <c r="R1175" s="187"/>
      <c r="S1175" s="188"/>
    </row>
    <row r="1176" spans="2:19" ht="12.75">
      <c r="B1176" s="185"/>
      <c r="C1176" s="186"/>
      <c r="D1176" s="187"/>
      <c r="E1176" s="187"/>
      <c r="F1176" s="187"/>
      <c r="G1176" s="187"/>
      <c r="H1176" s="187"/>
      <c r="I1176" s="187"/>
      <c r="J1176" s="187"/>
      <c r="K1176" s="187"/>
      <c r="L1176" s="187"/>
      <c r="M1176" s="187"/>
      <c r="N1176" s="187"/>
      <c r="O1176" s="187"/>
      <c r="P1176" s="187"/>
      <c r="Q1176" s="187"/>
      <c r="R1176" s="187"/>
      <c r="S1176" s="188"/>
    </row>
    <row r="1177" spans="2:19" ht="12.75">
      <c r="B1177" s="185"/>
      <c r="C1177" s="186"/>
      <c r="D1177" s="187"/>
      <c r="E1177" s="187"/>
      <c r="F1177" s="187"/>
      <c r="G1177" s="187"/>
      <c r="H1177" s="187"/>
      <c r="I1177" s="187"/>
      <c r="J1177" s="187"/>
      <c r="K1177" s="187"/>
      <c r="L1177" s="187"/>
      <c r="M1177" s="187"/>
      <c r="N1177" s="187"/>
      <c r="O1177" s="187"/>
      <c r="P1177" s="187"/>
      <c r="Q1177" s="187"/>
      <c r="R1177" s="187"/>
      <c r="S1177" s="188"/>
    </row>
    <row r="1178" spans="2:19" ht="12.75">
      <c r="B1178" s="185"/>
      <c r="C1178" s="186"/>
      <c r="D1178" s="187"/>
      <c r="E1178" s="187"/>
      <c r="F1178" s="187"/>
      <c r="G1178" s="187"/>
      <c r="H1178" s="187"/>
      <c r="I1178" s="187"/>
      <c r="J1178" s="187"/>
      <c r="K1178" s="187"/>
      <c r="L1178" s="187"/>
      <c r="M1178" s="187"/>
      <c r="N1178" s="187"/>
      <c r="O1178" s="187"/>
      <c r="P1178" s="187"/>
      <c r="Q1178" s="187"/>
      <c r="R1178" s="187"/>
      <c r="S1178" s="188"/>
    </row>
    <row r="1179" spans="2:19" ht="12.75">
      <c r="B1179" s="185"/>
      <c r="C1179" s="186"/>
      <c r="D1179" s="187"/>
      <c r="E1179" s="187"/>
      <c r="F1179" s="187"/>
      <c r="G1179" s="187"/>
      <c r="H1179" s="187"/>
      <c r="I1179" s="187"/>
      <c r="J1179" s="187"/>
      <c r="K1179" s="187"/>
      <c r="L1179" s="187"/>
      <c r="M1179" s="187"/>
      <c r="N1179" s="187"/>
      <c r="O1179" s="187"/>
      <c r="P1179" s="187"/>
      <c r="Q1179" s="187"/>
      <c r="R1179" s="187"/>
      <c r="S1179" s="188"/>
    </row>
    <row r="1180" spans="2:19" ht="12.75">
      <c r="B1180" s="185"/>
      <c r="C1180" s="186"/>
      <c r="D1180" s="187"/>
      <c r="E1180" s="187"/>
      <c r="F1180" s="187"/>
      <c r="G1180" s="187"/>
      <c r="H1180" s="187"/>
      <c r="I1180" s="187"/>
      <c r="J1180" s="187"/>
      <c r="K1180" s="187"/>
      <c r="L1180" s="187"/>
      <c r="M1180" s="187"/>
      <c r="N1180" s="187"/>
      <c r="O1180" s="187"/>
      <c r="P1180" s="187"/>
      <c r="Q1180" s="187"/>
      <c r="R1180" s="187"/>
      <c r="S1180" s="188"/>
    </row>
    <row r="1181" spans="2:19" ht="12.75">
      <c r="B1181" s="185"/>
      <c r="C1181" s="186"/>
      <c r="D1181" s="187"/>
      <c r="E1181" s="187"/>
      <c r="F1181" s="187"/>
      <c r="G1181" s="187"/>
      <c r="H1181" s="187"/>
      <c r="I1181" s="187"/>
      <c r="J1181" s="187"/>
      <c r="K1181" s="187"/>
      <c r="L1181" s="187"/>
      <c r="M1181" s="187"/>
      <c r="N1181" s="187"/>
      <c r="O1181" s="187"/>
      <c r="P1181" s="187"/>
      <c r="Q1181" s="187"/>
      <c r="R1181" s="187"/>
      <c r="S1181" s="188"/>
    </row>
    <row r="1182" spans="2:19" ht="12.75">
      <c r="B1182" s="185"/>
      <c r="C1182" s="186"/>
      <c r="D1182" s="187"/>
      <c r="E1182" s="187"/>
      <c r="F1182" s="187"/>
      <c r="G1182" s="187"/>
      <c r="H1182" s="187"/>
      <c r="I1182" s="187"/>
      <c r="J1182" s="187"/>
      <c r="K1182" s="187"/>
      <c r="L1182" s="187"/>
      <c r="M1182" s="187"/>
      <c r="N1182" s="187"/>
      <c r="O1182" s="187"/>
      <c r="P1182" s="187"/>
      <c r="Q1182" s="187"/>
      <c r="R1182" s="187"/>
      <c r="S1182" s="188"/>
    </row>
    <row r="1183" spans="2:19" ht="12.75">
      <c r="B1183" s="185"/>
      <c r="C1183" s="186"/>
      <c r="D1183" s="187"/>
      <c r="E1183" s="187"/>
      <c r="F1183" s="187"/>
      <c r="G1183" s="187"/>
      <c r="H1183" s="187"/>
      <c r="I1183" s="187"/>
      <c r="J1183" s="187"/>
      <c r="K1183" s="187"/>
      <c r="L1183" s="187"/>
      <c r="M1183" s="187"/>
      <c r="N1183" s="187"/>
      <c r="O1183" s="187"/>
      <c r="P1183" s="187"/>
      <c r="Q1183" s="187"/>
      <c r="R1183" s="187"/>
      <c r="S1183" s="188"/>
    </row>
    <row r="1184" spans="2:19" ht="12.75">
      <c r="B1184" s="185"/>
      <c r="C1184" s="186"/>
      <c r="D1184" s="187"/>
      <c r="E1184" s="187"/>
      <c r="F1184" s="187"/>
      <c r="G1184" s="187"/>
      <c r="H1184" s="187"/>
      <c r="I1184" s="187"/>
      <c r="J1184" s="187"/>
      <c r="K1184" s="187"/>
      <c r="L1184" s="187"/>
      <c r="M1184" s="187"/>
      <c r="N1184" s="187"/>
      <c r="O1184" s="187"/>
      <c r="P1184" s="187"/>
      <c r="Q1184" s="187"/>
      <c r="R1184" s="187"/>
      <c r="S1184" s="188"/>
    </row>
    <row r="1185" spans="2:19" ht="12.75">
      <c r="B1185" s="185"/>
      <c r="C1185" s="186"/>
      <c r="D1185" s="187"/>
      <c r="E1185" s="187"/>
      <c r="F1185" s="187"/>
      <c r="G1185" s="187"/>
      <c r="H1185" s="187"/>
      <c r="I1185" s="187"/>
      <c r="J1185" s="187"/>
      <c r="K1185" s="187"/>
      <c r="L1185" s="187"/>
      <c r="M1185" s="187"/>
      <c r="N1185" s="187"/>
      <c r="O1185" s="187"/>
      <c r="P1185" s="187"/>
      <c r="Q1185" s="187"/>
      <c r="R1185" s="187"/>
      <c r="S1185" s="188"/>
    </row>
    <row r="1186" spans="2:19" ht="12.75">
      <c r="B1186" s="185"/>
      <c r="C1186" s="186"/>
      <c r="D1186" s="187"/>
      <c r="E1186" s="187"/>
      <c r="F1186" s="187"/>
      <c r="G1186" s="187"/>
      <c r="H1186" s="187"/>
      <c r="I1186" s="187"/>
      <c r="J1186" s="187"/>
      <c r="K1186" s="187"/>
      <c r="L1186" s="187"/>
      <c r="M1186" s="187"/>
      <c r="N1186" s="187"/>
      <c r="O1186" s="187"/>
      <c r="P1186" s="187"/>
      <c r="Q1186" s="187"/>
      <c r="R1186" s="187"/>
      <c r="S1186" s="188"/>
    </row>
    <row r="1187" spans="2:19" ht="12.75">
      <c r="B1187" s="185"/>
      <c r="C1187" s="186"/>
      <c r="D1187" s="187"/>
      <c r="E1187" s="187"/>
      <c r="F1187" s="187"/>
      <c r="G1187" s="187"/>
      <c r="H1187" s="187"/>
      <c r="I1187" s="187"/>
      <c r="J1187" s="187"/>
      <c r="K1187" s="187"/>
      <c r="L1187" s="187"/>
      <c r="M1187" s="187"/>
      <c r="N1187" s="187"/>
      <c r="O1187" s="187"/>
      <c r="P1187" s="187"/>
      <c r="Q1187" s="187"/>
      <c r="R1187" s="187"/>
      <c r="S1187" s="188"/>
    </row>
    <row r="1188" spans="2:19" ht="12.75">
      <c r="B1188" s="185"/>
      <c r="C1188" s="186"/>
      <c r="D1188" s="187"/>
      <c r="E1188" s="187"/>
      <c r="F1188" s="187"/>
      <c r="G1188" s="187"/>
      <c r="H1188" s="187"/>
      <c r="I1188" s="187"/>
      <c r="J1188" s="187"/>
      <c r="K1188" s="187"/>
      <c r="L1188" s="187"/>
      <c r="M1188" s="187"/>
      <c r="N1188" s="187"/>
      <c r="O1188" s="187"/>
      <c r="P1188" s="187"/>
      <c r="Q1188" s="187"/>
      <c r="R1188" s="187"/>
      <c r="S1188" s="188"/>
    </row>
    <row r="1189" spans="2:19" ht="12.75">
      <c r="B1189" s="185"/>
      <c r="C1189" s="186"/>
      <c r="D1189" s="187"/>
      <c r="E1189" s="187"/>
      <c r="F1189" s="187"/>
      <c r="G1189" s="187"/>
      <c r="H1189" s="187"/>
      <c r="I1189" s="187"/>
      <c r="J1189" s="187"/>
      <c r="K1189" s="187"/>
      <c r="L1189" s="187"/>
      <c r="M1189" s="187"/>
      <c r="N1189" s="187"/>
      <c r="O1189" s="187"/>
      <c r="P1189" s="187"/>
      <c r="Q1189" s="187"/>
      <c r="R1189" s="187"/>
      <c r="S1189" s="188"/>
    </row>
    <row r="1190" spans="2:19" ht="12.75">
      <c r="B1190" s="185"/>
      <c r="C1190" s="186"/>
      <c r="D1190" s="187"/>
      <c r="E1190" s="187"/>
      <c r="F1190" s="187"/>
      <c r="G1190" s="187"/>
      <c r="H1190" s="187"/>
      <c r="I1190" s="187"/>
      <c r="J1190" s="187"/>
      <c r="K1190" s="187"/>
      <c r="L1190" s="187"/>
      <c r="M1190" s="187"/>
      <c r="N1190" s="187"/>
      <c r="O1190" s="187"/>
      <c r="P1190" s="187"/>
      <c r="Q1190" s="187"/>
      <c r="R1190" s="187"/>
      <c r="S1190" s="188"/>
    </row>
    <row r="1191" spans="2:19" ht="12.75">
      <c r="B1191" s="185"/>
      <c r="C1191" s="186"/>
      <c r="D1191" s="187"/>
      <c r="E1191" s="187"/>
      <c r="F1191" s="187"/>
      <c r="G1191" s="187"/>
      <c r="H1191" s="187"/>
      <c r="I1191" s="187"/>
      <c r="J1191" s="187"/>
      <c r="K1191" s="187"/>
      <c r="L1191" s="187"/>
      <c r="M1191" s="187"/>
      <c r="N1191" s="187"/>
      <c r="O1191" s="187"/>
      <c r="P1191" s="187"/>
      <c r="Q1191" s="187"/>
      <c r="R1191" s="187"/>
      <c r="S1191" s="188"/>
    </row>
    <row r="1192" spans="2:19" ht="12.75">
      <c r="B1192" s="185"/>
      <c r="C1192" s="186"/>
      <c r="D1192" s="187"/>
      <c r="E1192" s="187"/>
      <c r="F1192" s="187"/>
      <c r="G1192" s="187"/>
      <c r="H1192" s="187"/>
      <c r="I1192" s="187"/>
      <c r="J1192" s="187"/>
      <c r="K1192" s="187"/>
      <c r="L1192" s="187"/>
      <c r="M1192" s="187"/>
      <c r="N1192" s="187"/>
      <c r="O1192" s="187"/>
      <c r="P1192" s="187"/>
      <c r="Q1192" s="187"/>
      <c r="R1192" s="187"/>
      <c r="S1192" s="188"/>
    </row>
    <row r="1193" spans="2:19" ht="12.75">
      <c r="B1193" s="185"/>
      <c r="C1193" s="186"/>
      <c r="D1193" s="187"/>
      <c r="E1193" s="187"/>
      <c r="F1193" s="187"/>
      <c r="G1193" s="187"/>
      <c r="H1193" s="187"/>
      <c r="I1193" s="187"/>
      <c r="J1193" s="187"/>
      <c r="K1193" s="187"/>
      <c r="L1193" s="187"/>
      <c r="M1193" s="187"/>
      <c r="N1193" s="187"/>
      <c r="O1193" s="187"/>
      <c r="P1193" s="187"/>
      <c r="Q1193" s="187"/>
      <c r="R1193" s="187"/>
      <c r="S1193" s="188"/>
    </row>
    <row r="1194" spans="2:19" ht="12.75">
      <c r="B1194" s="185"/>
      <c r="C1194" s="186"/>
      <c r="D1194" s="187"/>
      <c r="E1194" s="187"/>
      <c r="F1194" s="187"/>
      <c r="G1194" s="187"/>
      <c r="H1194" s="187"/>
      <c r="I1194" s="187"/>
      <c r="J1194" s="187"/>
      <c r="K1194" s="187"/>
      <c r="L1194" s="187"/>
      <c r="M1194" s="187"/>
      <c r="N1194" s="187"/>
      <c r="O1194" s="187"/>
      <c r="P1194" s="187"/>
      <c r="Q1194" s="187"/>
      <c r="R1194" s="187"/>
      <c r="S1194" s="188"/>
    </row>
    <row r="1195" spans="2:19" ht="12.75">
      <c r="B1195" s="185"/>
      <c r="C1195" s="186"/>
      <c r="D1195" s="187"/>
      <c r="E1195" s="187"/>
      <c r="F1195" s="187"/>
      <c r="G1195" s="187"/>
      <c r="H1195" s="187"/>
      <c r="I1195" s="187"/>
      <c r="J1195" s="187"/>
      <c r="K1195" s="187"/>
      <c r="L1195" s="187"/>
      <c r="M1195" s="187"/>
      <c r="N1195" s="187"/>
      <c r="O1195" s="187"/>
      <c r="P1195" s="187"/>
      <c r="Q1195" s="187"/>
      <c r="R1195" s="187"/>
      <c r="S1195" s="188"/>
    </row>
    <row r="1196" spans="2:19" ht="12.75">
      <c r="B1196" s="185"/>
      <c r="C1196" s="186"/>
      <c r="D1196" s="187"/>
      <c r="E1196" s="187"/>
      <c r="F1196" s="187"/>
      <c r="G1196" s="187"/>
      <c r="H1196" s="187"/>
      <c r="I1196" s="187"/>
      <c r="J1196" s="187"/>
      <c r="K1196" s="187"/>
      <c r="L1196" s="187"/>
      <c r="M1196" s="187"/>
      <c r="N1196" s="187"/>
      <c r="O1196" s="187"/>
      <c r="P1196" s="187"/>
      <c r="Q1196" s="187"/>
      <c r="R1196" s="187"/>
      <c r="S1196" s="188"/>
    </row>
    <row r="1197" spans="2:19" ht="12.75">
      <c r="B1197" s="185"/>
      <c r="C1197" s="186"/>
      <c r="D1197" s="187"/>
      <c r="E1197" s="187"/>
      <c r="F1197" s="187"/>
      <c r="G1197" s="187"/>
      <c r="H1197" s="187"/>
      <c r="I1197" s="187"/>
      <c r="J1197" s="187"/>
      <c r="K1197" s="187"/>
      <c r="L1197" s="187"/>
      <c r="M1197" s="187"/>
      <c r="N1197" s="187"/>
      <c r="O1197" s="187"/>
      <c r="P1197" s="187"/>
      <c r="Q1197" s="187"/>
      <c r="R1197" s="187"/>
      <c r="S1197" s="188"/>
    </row>
    <row r="1198" spans="2:19" ht="12.75">
      <c r="B1198" s="185"/>
      <c r="C1198" s="186"/>
      <c r="D1198" s="187"/>
      <c r="E1198" s="187"/>
      <c r="F1198" s="187"/>
      <c r="G1198" s="187"/>
      <c r="H1198" s="187"/>
      <c r="I1198" s="187"/>
      <c r="J1198" s="187"/>
      <c r="K1198" s="187"/>
      <c r="L1198" s="187"/>
      <c r="M1198" s="187"/>
      <c r="N1198" s="187"/>
      <c r="O1198" s="187"/>
      <c r="P1198" s="187"/>
      <c r="Q1198" s="187"/>
      <c r="R1198" s="187"/>
      <c r="S1198" s="188"/>
    </row>
    <row r="1199" spans="2:19" ht="12.75">
      <c r="B1199" s="185"/>
      <c r="C1199" s="186"/>
      <c r="D1199" s="187"/>
      <c r="E1199" s="187"/>
      <c r="F1199" s="187"/>
      <c r="G1199" s="187"/>
      <c r="H1199" s="187"/>
      <c r="I1199" s="187"/>
      <c r="J1199" s="187"/>
      <c r="K1199" s="187"/>
      <c r="L1199" s="187"/>
      <c r="M1199" s="187"/>
      <c r="N1199" s="187"/>
      <c r="O1199" s="187"/>
      <c r="P1199" s="187"/>
      <c r="Q1199" s="187"/>
      <c r="R1199" s="187"/>
      <c r="S1199" s="188"/>
    </row>
    <row r="1200" spans="2:19" ht="12.75">
      <c r="B1200" s="185"/>
      <c r="C1200" s="186"/>
      <c r="D1200" s="187"/>
      <c r="E1200" s="187"/>
      <c r="F1200" s="187"/>
      <c r="G1200" s="187"/>
      <c r="H1200" s="187"/>
      <c r="I1200" s="187"/>
      <c r="J1200" s="187"/>
      <c r="K1200" s="187"/>
      <c r="L1200" s="187"/>
      <c r="M1200" s="187"/>
      <c r="N1200" s="187"/>
      <c r="O1200" s="187"/>
      <c r="P1200" s="187"/>
      <c r="Q1200" s="187"/>
      <c r="R1200" s="187"/>
      <c r="S1200" s="188"/>
    </row>
    <row r="1201" spans="2:19" ht="12.75">
      <c r="B1201" s="185"/>
      <c r="C1201" s="186"/>
      <c r="D1201" s="187"/>
      <c r="E1201" s="187"/>
      <c r="F1201" s="187"/>
      <c r="G1201" s="187"/>
      <c r="H1201" s="187"/>
      <c r="I1201" s="187"/>
      <c r="J1201" s="187"/>
      <c r="K1201" s="187"/>
      <c r="L1201" s="187"/>
      <c r="M1201" s="187"/>
      <c r="N1201" s="187"/>
      <c r="O1201" s="187"/>
      <c r="P1201" s="187"/>
      <c r="Q1201" s="187"/>
      <c r="R1201" s="187"/>
      <c r="S1201" s="188"/>
    </row>
    <row r="1202" spans="2:19" ht="12.75">
      <c r="B1202" s="185"/>
      <c r="C1202" s="186"/>
      <c r="D1202" s="187"/>
      <c r="E1202" s="187"/>
      <c r="F1202" s="187"/>
      <c r="G1202" s="187"/>
      <c r="H1202" s="187"/>
      <c r="I1202" s="187"/>
      <c r="J1202" s="187"/>
      <c r="K1202" s="187"/>
      <c r="L1202" s="187"/>
      <c r="M1202" s="187"/>
      <c r="N1202" s="187"/>
      <c r="O1202" s="187"/>
      <c r="P1202" s="187"/>
      <c r="Q1202" s="187"/>
      <c r="R1202" s="187"/>
      <c r="S1202" s="188"/>
    </row>
    <row r="1203" spans="2:19" ht="12.75">
      <c r="B1203" s="185"/>
      <c r="C1203" s="186"/>
      <c r="D1203" s="187"/>
      <c r="E1203" s="187"/>
      <c r="F1203" s="187"/>
      <c r="G1203" s="187"/>
      <c r="H1203" s="187"/>
      <c r="I1203" s="187"/>
      <c r="J1203" s="187"/>
      <c r="K1203" s="187"/>
      <c r="L1203" s="187"/>
      <c r="M1203" s="187"/>
      <c r="N1203" s="187"/>
      <c r="O1203" s="187"/>
      <c r="P1203" s="187"/>
      <c r="Q1203" s="187"/>
      <c r="R1203" s="187"/>
      <c r="S1203" s="188"/>
    </row>
    <row r="1204" spans="2:19" ht="12.75">
      <c r="B1204" s="185"/>
      <c r="C1204" s="186"/>
      <c r="D1204" s="187"/>
      <c r="E1204" s="187"/>
      <c r="F1204" s="187"/>
      <c r="G1204" s="187"/>
      <c r="H1204" s="187"/>
      <c r="I1204" s="187"/>
      <c r="J1204" s="187"/>
      <c r="K1204" s="187"/>
      <c r="L1204" s="187"/>
      <c r="M1204" s="187"/>
      <c r="N1204" s="187"/>
      <c r="O1204" s="187"/>
      <c r="P1204" s="187"/>
      <c r="Q1204" s="187"/>
      <c r="R1204" s="187"/>
      <c r="S1204" s="188"/>
    </row>
    <row r="1205" spans="2:19" ht="12.75">
      <c r="B1205" s="185"/>
      <c r="C1205" s="186"/>
      <c r="D1205" s="187"/>
      <c r="E1205" s="187"/>
      <c r="F1205" s="187"/>
      <c r="G1205" s="187"/>
      <c r="H1205" s="187"/>
      <c r="I1205" s="187"/>
      <c r="J1205" s="187"/>
      <c r="K1205" s="187"/>
      <c r="L1205" s="187"/>
      <c r="M1205" s="187"/>
      <c r="N1205" s="187"/>
      <c r="O1205" s="187"/>
      <c r="P1205" s="187"/>
      <c r="Q1205" s="187"/>
      <c r="R1205" s="187"/>
      <c r="S1205" s="188"/>
    </row>
    <row r="1206" spans="2:19" ht="12.75">
      <c r="B1206" s="185"/>
      <c r="C1206" s="186"/>
      <c r="D1206" s="187"/>
      <c r="E1206" s="187"/>
      <c r="F1206" s="187"/>
      <c r="G1206" s="187"/>
      <c r="H1206" s="187"/>
      <c r="I1206" s="187"/>
      <c r="J1206" s="187"/>
      <c r="K1206" s="187"/>
      <c r="L1206" s="187"/>
      <c r="M1206" s="187"/>
      <c r="N1206" s="187"/>
      <c r="O1206" s="187"/>
      <c r="P1206" s="187"/>
      <c r="Q1206" s="187"/>
      <c r="R1206" s="187"/>
      <c r="S1206" s="188"/>
    </row>
    <row r="1207" spans="2:19" ht="12.75">
      <c r="B1207" s="185"/>
      <c r="C1207" s="186"/>
      <c r="D1207" s="187"/>
      <c r="E1207" s="187"/>
      <c r="F1207" s="187"/>
      <c r="G1207" s="187"/>
      <c r="H1207" s="187"/>
      <c r="I1207" s="187"/>
      <c r="J1207" s="187"/>
      <c r="K1207" s="187"/>
      <c r="L1207" s="187"/>
      <c r="M1207" s="187"/>
      <c r="N1207" s="187"/>
      <c r="O1207" s="187"/>
      <c r="P1207" s="187"/>
      <c r="Q1207" s="187"/>
      <c r="R1207" s="187"/>
      <c r="S1207" s="188"/>
    </row>
    <row r="1208" spans="2:19" ht="12.75">
      <c r="B1208" s="185"/>
      <c r="C1208" s="186"/>
      <c r="D1208" s="187"/>
      <c r="E1208" s="187"/>
      <c r="F1208" s="187"/>
      <c r="G1208" s="187"/>
      <c r="H1208" s="187"/>
      <c r="I1208" s="187"/>
      <c r="J1208" s="187"/>
      <c r="K1208" s="187"/>
      <c r="L1208" s="187"/>
      <c r="M1208" s="187"/>
      <c r="N1208" s="187"/>
      <c r="O1208" s="187"/>
      <c r="P1208" s="187"/>
      <c r="Q1208" s="187"/>
      <c r="R1208" s="187"/>
      <c r="S1208" s="188"/>
    </row>
    <row r="1209" spans="2:19" ht="12.75">
      <c r="B1209" s="185"/>
      <c r="C1209" s="186"/>
      <c r="D1209" s="187"/>
      <c r="E1209" s="187"/>
      <c r="F1209" s="187"/>
      <c r="G1209" s="187"/>
      <c r="H1209" s="187"/>
      <c r="I1209" s="187"/>
      <c r="J1209" s="187"/>
      <c r="K1209" s="187"/>
      <c r="L1209" s="187"/>
      <c r="M1209" s="187"/>
      <c r="N1209" s="187"/>
      <c r="O1209" s="187"/>
      <c r="P1209" s="187"/>
      <c r="Q1209" s="187"/>
      <c r="R1209" s="187"/>
      <c r="S1209" s="188"/>
    </row>
    <row r="1210" spans="2:19" ht="12.75">
      <c r="B1210" s="185"/>
      <c r="C1210" s="186"/>
      <c r="D1210" s="187"/>
      <c r="E1210" s="187"/>
      <c r="F1210" s="187"/>
      <c r="G1210" s="187"/>
      <c r="H1210" s="187"/>
      <c r="I1210" s="187"/>
      <c r="J1210" s="187"/>
      <c r="K1210" s="187"/>
      <c r="L1210" s="187"/>
      <c r="M1210" s="187"/>
      <c r="N1210" s="187"/>
      <c r="O1210" s="187"/>
      <c r="P1210" s="187"/>
      <c r="Q1210" s="187"/>
      <c r="R1210" s="187"/>
      <c r="S1210" s="188"/>
    </row>
    <row r="1211" spans="2:19" ht="12.75">
      <c r="B1211" s="185"/>
      <c r="C1211" s="186"/>
      <c r="D1211" s="187"/>
      <c r="E1211" s="187"/>
      <c r="F1211" s="187"/>
      <c r="G1211" s="187"/>
      <c r="H1211" s="187"/>
      <c r="I1211" s="187"/>
      <c r="J1211" s="187"/>
      <c r="K1211" s="187"/>
      <c r="L1211" s="187"/>
      <c r="M1211" s="187"/>
      <c r="N1211" s="187"/>
      <c r="O1211" s="187"/>
      <c r="P1211" s="187"/>
      <c r="Q1211" s="187"/>
      <c r="R1211" s="187"/>
      <c r="S1211" s="188"/>
    </row>
    <row r="1212" spans="2:19" ht="12.75">
      <c r="B1212" s="185"/>
      <c r="C1212" s="186"/>
      <c r="D1212" s="187"/>
      <c r="E1212" s="187"/>
      <c r="F1212" s="187"/>
      <c r="G1212" s="187"/>
      <c r="H1212" s="187"/>
      <c r="I1212" s="187"/>
      <c r="J1212" s="187"/>
      <c r="K1212" s="187"/>
      <c r="L1212" s="187"/>
      <c r="M1212" s="187"/>
      <c r="N1212" s="187"/>
      <c r="O1212" s="187"/>
      <c r="P1212" s="187"/>
      <c r="Q1212" s="187"/>
      <c r="R1212" s="187"/>
      <c r="S1212" s="188"/>
    </row>
    <row r="1213" spans="2:19" ht="12.75">
      <c r="B1213" s="185"/>
      <c r="C1213" s="186"/>
      <c r="D1213" s="187"/>
      <c r="E1213" s="187"/>
      <c r="F1213" s="187"/>
      <c r="G1213" s="187"/>
      <c r="H1213" s="187"/>
      <c r="I1213" s="187"/>
      <c r="J1213" s="187"/>
      <c r="K1213" s="187"/>
      <c r="L1213" s="187"/>
      <c r="M1213" s="187"/>
      <c r="N1213" s="187"/>
      <c r="O1213" s="187"/>
      <c r="P1213" s="187"/>
      <c r="Q1213" s="187"/>
      <c r="R1213" s="187"/>
      <c r="S1213" s="188"/>
    </row>
    <row r="1214" spans="2:19" ht="12.75">
      <c r="B1214" s="185"/>
      <c r="C1214" s="186"/>
      <c r="D1214" s="187"/>
      <c r="E1214" s="187"/>
      <c r="F1214" s="187"/>
      <c r="G1214" s="187"/>
      <c r="H1214" s="187"/>
      <c r="I1214" s="187"/>
      <c r="J1214" s="187"/>
      <c r="K1214" s="187"/>
      <c r="L1214" s="187"/>
      <c r="M1214" s="187"/>
      <c r="N1214" s="187"/>
      <c r="O1214" s="187"/>
      <c r="P1214" s="187"/>
      <c r="Q1214" s="187"/>
      <c r="R1214" s="187"/>
      <c r="S1214" s="188"/>
    </row>
    <row r="1215" spans="2:19" ht="12.75">
      <c r="B1215" s="185"/>
      <c r="C1215" s="186"/>
      <c r="D1215" s="187"/>
      <c r="E1215" s="187"/>
      <c r="F1215" s="187"/>
      <c r="G1215" s="187"/>
      <c r="H1215" s="187"/>
      <c r="I1215" s="187"/>
      <c r="J1215" s="187"/>
      <c r="K1215" s="187"/>
      <c r="L1215" s="187"/>
      <c r="M1215" s="187"/>
      <c r="N1215" s="187"/>
      <c r="O1215" s="187"/>
      <c r="P1215" s="187"/>
      <c r="Q1215" s="187"/>
      <c r="R1215" s="187"/>
      <c r="S1215" s="188"/>
    </row>
    <row r="1216" spans="2:19" ht="12.75">
      <c r="B1216" s="185"/>
      <c r="C1216" s="186"/>
      <c r="D1216" s="187"/>
      <c r="E1216" s="187"/>
      <c r="F1216" s="187"/>
      <c r="G1216" s="187"/>
      <c r="H1216" s="187"/>
      <c r="I1216" s="187"/>
      <c r="J1216" s="187"/>
      <c r="K1216" s="187"/>
      <c r="L1216" s="187"/>
      <c r="M1216" s="187"/>
      <c r="N1216" s="187"/>
      <c r="O1216" s="187"/>
      <c r="P1216" s="187"/>
      <c r="Q1216" s="187"/>
      <c r="R1216" s="187"/>
      <c r="S1216" s="188"/>
    </row>
    <row r="1217" spans="2:19" ht="12.75">
      <c r="B1217" s="185"/>
      <c r="C1217" s="186"/>
      <c r="D1217" s="187"/>
      <c r="E1217" s="187"/>
      <c r="F1217" s="187"/>
      <c r="G1217" s="187"/>
      <c r="H1217" s="187"/>
      <c r="I1217" s="187"/>
      <c r="J1217" s="187"/>
      <c r="K1217" s="187"/>
      <c r="L1217" s="187"/>
      <c r="M1217" s="187"/>
      <c r="N1217" s="187"/>
      <c r="O1217" s="187"/>
      <c r="P1217" s="187"/>
      <c r="Q1217" s="187"/>
      <c r="R1217" s="187"/>
      <c r="S1217" s="188"/>
    </row>
    <row r="1218" spans="2:19" ht="12.75">
      <c r="B1218" s="185"/>
      <c r="C1218" s="186"/>
      <c r="D1218" s="187"/>
      <c r="E1218" s="187"/>
      <c r="F1218" s="187"/>
      <c r="G1218" s="187"/>
      <c r="H1218" s="187"/>
      <c r="I1218" s="187"/>
      <c r="J1218" s="187"/>
      <c r="K1218" s="187"/>
      <c r="L1218" s="187"/>
      <c r="M1218" s="187"/>
      <c r="N1218" s="187"/>
      <c r="O1218" s="187"/>
      <c r="P1218" s="187"/>
      <c r="Q1218" s="187"/>
      <c r="R1218" s="187"/>
      <c r="S1218" s="188"/>
    </row>
    <row r="1219" spans="2:19" ht="12.75">
      <c r="B1219" s="185"/>
      <c r="C1219" s="186"/>
      <c r="D1219" s="187"/>
      <c r="E1219" s="187"/>
      <c r="F1219" s="187"/>
      <c r="G1219" s="187"/>
      <c r="H1219" s="187"/>
      <c r="I1219" s="187"/>
      <c r="J1219" s="187"/>
      <c r="K1219" s="187"/>
      <c r="L1219" s="187"/>
      <c r="M1219" s="187"/>
      <c r="N1219" s="187"/>
      <c r="O1219" s="187"/>
      <c r="P1219" s="187"/>
      <c r="Q1219" s="187"/>
      <c r="R1219" s="187"/>
      <c r="S1219" s="188"/>
    </row>
    <row r="1220" spans="2:19" ht="12.75">
      <c r="B1220" s="185"/>
      <c r="C1220" s="186"/>
      <c r="D1220" s="187"/>
      <c r="E1220" s="187"/>
      <c r="F1220" s="187"/>
      <c r="G1220" s="187"/>
      <c r="H1220" s="187"/>
      <c r="I1220" s="187"/>
      <c r="J1220" s="187"/>
      <c r="K1220" s="187"/>
      <c r="L1220" s="187"/>
      <c r="M1220" s="187"/>
      <c r="N1220" s="187"/>
      <c r="O1220" s="187"/>
      <c r="P1220" s="187"/>
      <c r="Q1220" s="187"/>
      <c r="R1220" s="187"/>
      <c r="S1220" s="188"/>
    </row>
    <row r="1221" spans="2:19" ht="12.75">
      <c r="B1221" s="185"/>
      <c r="C1221" s="186"/>
      <c r="D1221" s="187"/>
      <c r="E1221" s="187"/>
      <c r="F1221" s="187"/>
      <c r="G1221" s="187"/>
      <c r="H1221" s="187"/>
      <c r="I1221" s="187"/>
      <c r="J1221" s="187"/>
      <c r="K1221" s="187"/>
      <c r="L1221" s="187"/>
      <c r="M1221" s="187"/>
      <c r="N1221" s="187"/>
      <c r="O1221" s="187"/>
      <c r="P1221" s="187"/>
      <c r="Q1221" s="187"/>
      <c r="R1221" s="187"/>
      <c r="S1221" s="188"/>
    </row>
    <row r="1222" spans="2:19" ht="12.75">
      <c r="B1222" s="185"/>
      <c r="C1222" s="186"/>
      <c r="D1222" s="187"/>
      <c r="E1222" s="187"/>
      <c r="F1222" s="187"/>
      <c r="G1222" s="187"/>
      <c r="H1222" s="187"/>
      <c r="I1222" s="187"/>
      <c r="J1222" s="187"/>
      <c r="K1222" s="187"/>
      <c r="L1222" s="187"/>
      <c r="M1222" s="187"/>
      <c r="N1222" s="187"/>
      <c r="O1222" s="187"/>
      <c r="P1222" s="187"/>
      <c r="Q1222" s="187"/>
      <c r="R1222" s="187"/>
      <c r="S1222" s="188"/>
    </row>
    <row r="1223" spans="2:19" ht="12.75">
      <c r="B1223" s="185"/>
      <c r="C1223" s="186"/>
      <c r="D1223" s="187"/>
      <c r="E1223" s="187"/>
      <c r="F1223" s="187"/>
      <c r="G1223" s="187"/>
      <c r="H1223" s="187"/>
      <c r="I1223" s="187"/>
      <c r="J1223" s="187"/>
      <c r="K1223" s="187"/>
      <c r="L1223" s="187"/>
      <c r="M1223" s="187"/>
      <c r="N1223" s="187"/>
      <c r="O1223" s="187"/>
      <c r="P1223" s="187"/>
      <c r="Q1223" s="187"/>
      <c r="R1223" s="187"/>
      <c r="S1223" s="188"/>
    </row>
    <row r="1224" spans="2:19" ht="12.75">
      <c r="B1224" s="185"/>
      <c r="C1224" s="186"/>
      <c r="D1224" s="187"/>
      <c r="E1224" s="187"/>
      <c r="F1224" s="187"/>
      <c r="G1224" s="187"/>
      <c r="H1224" s="187"/>
      <c r="I1224" s="187"/>
      <c r="J1224" s="187"/>
      <c r="K1224" s="187"/>
      <c r="L1224" s="187"/>
      <c r="M1224" s="187"/>
      <c r="N1224" s="187"/>
      <c r="O1224" s="187"/>
      <c r="P1224" s="187"/>
      <c r="Q1224" s="187"/>
      <c r="R1224" s="187"/>
      <c r="S1224" s="188"/>
    </row>
    <row r="1225" spans="2:19" ht="12.75">
      <c r="B1225" s="185"/>
      <c r="C1225" s="186"/>
      <c r="D1225" s="187"/>
      <c r="E1225" s="187"/>
      <c r="F1225" s="187"/>
      <c r="G1225" s="187"/>
      <c r="H1225" s="187"/>
      <c r="I1225" s="187"/>
      <c r="J1225" s="187"/>
      <c r="K1225" s="187"/>
      <c r="L1225" s="187"/>
      <c r="M1225" s="187"/>
      <c r="N1225" s="187"/>
      <c r="O1225" s="187"/>
      <c r="P1225" s="187"/>
      <c r="Q1225" s="187"/>
      <c r="R1225" s="187"/>
      <c r="S1225" s="188"/>
    </row>
    <row r="1226" spans="2:19" ht="12.75">
      <c r="B1226" s="185"/>
      <c r="C1226" s="186"/>
      <c r="D1226" s="187"/>
      <c r="E1226" s="187"/>
      <c r="F1226" s="187"/>
      <c r="G1226" s="187"/>
      <c r="H1226" s="187"/>
      <c r="I1226" s="187"/>
      <c r="J1226" s="187"/>
      <c r="K1226" s="187"/>
      <c r="L1226" s="187"/>
      <c r="M1226" s="187"/>
      <c r="N1226" s="187"/>
      <c r="O1226" s="187"/>
      <c r="P1226" s="187"/>
      <c r="Q1226" s="187"/>
      <c r="R1226" s="187"/>
      <c r="S1226" s="188"/>
    </row>
    <row r="1227" spans="2:19" ht="12.75">
      <c r="B1227" s="185"/>
      <c r="C1227" s="186"/>
      <c r="D1227" s="187"/>
      <c r="E1227" s="187"/>
      <c r="F1227" s="187"/>
      <c r="G1227" s="187"/>
      <c r="H1227" s="187"/>
      <c r="I1227" s="187"/>
      <c r="J1227" s="187"/>
      <c r="K1227" s="187"/>
      <c r="L1227" s="187"/>
      <c r="M1227" s="187"/>
      <c r="N1227" s="187"/>
      <c r="O1227" s="187"/>
      <c r="P1227" s="187"/>
      <c r="Q1227" s="187"/>
      <c r="R1227" s="187"/>
      <c r="S1227" s="188"/>
    </row>
    <row r="1228" spans="2:19" ht="12.75">
      <c r="B1228" s="185"/>
      <c r="C1228" s="186"/>
      <c r="D1228" s="187"/>
      <c r="E1228" s="187"/>
      <c r="F1228" s="187"/>
      <c r="G1228" s="187"/>
      <c r="H1228" s="187"/>
      <c r="I1228" s="187"/>
      <c r="J1228" s="187"/>
      <c r="K1228" s="187"/>
      <c r="L1228" s="187"/>
      <c r="M1228" s="187"/>
      <c r="N1228" s="187"/>
      <c r="O1228" s="187"/>
      <c r="P1228" s="187"/>
      <c r="Q1228" s="187"/>
      <c r="R1228" s="187"/>
      <c r="S1228" s="188"/>
    </row>
    <row r="1229" spans="2:19" ht="12.75">
      <c r="B1229" s="185"/>
      <c r="C1229" s="186"/>
      <c r="D1229" s="187"/>
      <c r="E1229" s="187"/>
      <c r="F1229" s="187"/>
      <c r="G1229" s="187"/>
      <c r="H1229" s="187"/>
      <c r="I1229" s="187"/>
      <c r="J1229" s="187"/>
      <c r="K1229" s="187"/>
      <c r="L1229" s="187"/>
      <c r="M1229" s="187"/>
      <c r="N1229" s="187"/>
      <c r="O1229" s="187"/>
      <c r="P1229" s="187"/>
      <c r="Q1229" s="187"/>
      <c r="R1229" s="187"/>
      <c r="S1229" s="188"/>
    </row>
    <row r="1230" spans="2:19" ht="12.75">
      <c r="B1230" s="185"/>
      <c r="C1230" s="186"/>
      <c r="D1230" s="187"/>
      <c r="E1230" s="187"/>
      <c r="F1230" s="187"/>
      <c r="G1230" s="187"/>
      <c r="H1230" s="187"/>
      <c r="I1230" s="187"/>
      <c r="J1230" s="187"/>
      <c r="K1230" s="187"/>
      <c r="L1230" s="187"/>
      <c r="M1230" s="187"/>
      <c r="N1230" s="187"/>
      <c r="O1230" s="187"/>
      <c r="P1230" s="187"/>
      <c r="Q1230" s="187"/>
      <c r="R1230" s="187"/>
      <c r="S1230" s="188"/>
    </row>
    <row r="1231" spans="2:19" ht="12.75">
      <c r="B1231" s="185"/>
      <c r="C1231" s="186"/>
      <c r="D1231" s="187"/>
      <c r="E1231" s="187"/>
      <c r="F1231" s="187"/>
      <c r="G1231" s="187"/>
      <c r="H1231" s="187"/>
      <c r="I1231" s="187"/>
      <c r="J1231" s="187"/>
      <c r="K1231" s="187"/>
      <c r="L1231" s="187"/>
      <c r="M1231" s="187"/>
      <c r="N1231" s="187"/>
      <c r="O1231" s="187"/>
      <c r="P1231" s="187"/>
      <c r="Q1231" s="187"/>
      <c r="R1231" s="187"/>
      <c r="S1231" s="188"/>
    </row>
    <row r="1232" spans="2:19" ht="12.75">
      <c r="B1232" s="185"/>
      <c r="C1232" s="186"/>
      <c r="D1232" s="187"/>
      <c r="E1232" s="187"/>
      <c r="F1232" s="187"/>
      <c r="G1232" s="187"/>
      <c r="H1232" s="187"/>
      <c r="I1232" s="187"/>
      <c r="J1232" s="187"/>
      <c r="K1232" s="187"/>
      <c r="L1232" s="187"/>
      <c r="M1232" s="187"/>
      <c r="N1232" s="187"/>
      <c r="O1232" s="187"/>
      <c r="P1232" s="187"/>
      <c r="Q1232" s="187"/>
      <c r="R1232" s="187"/>
      <c r="S1232" s="188"/>
    </row>
    <row r="1233" spans="2:19" ht="12.75">
      <c r="B1233" s="185"/>
      <c r="C1233" s="186"/>
      <c r="D1233" s="187"/>
      <c r="E1233" s="187"/>
      <c r="F1233" s="187"/>
      <c r="G1233" s="187"/>
      <c r="H1233" s="187"/>
      <c r="I1233" s="187"/>
      <c r="J1233" s="187"/>
      <c r="K1233" s="187"/>
      <c r="L1233" s="187"/>
      <c r="M1233" s="187"/>
      <c r="N1233" s="187"/>
      <c r="O1233" s="187"/>
      <c r="P1233" s="187"/>
      <c r="Q1233" s="187"/>
      <c r="R1233" s="187"/>
      <c r="S1233" s="188"/>
    </row>
    <row r="1234" spans="2:19" ht="12.75">
      <c r="B1234" s="185"/>
      <c r="C1234" s="186"/>
      <c r="D1234" s="187"/>
      <c r="E1234" s="187"/>
      <c r="F1234" s="187"/>
      <c r="G1234" s="187"/>
      <c r="H1234" s="187"/>
      <c r="I1234" s="187"/>
      <c r="J1234" s="187"/>
      <c r="K1234" s="187"/>
      <c r="L1234" s="187"/>
      <c r="M1234" s="187"/>
      <c r="N1234" s="187"/>
      <c r="O1234" s="187"/>
      <c r="P1234" s="187"/>
      <c r="Q1234" s="187"/>
      <c r="R1234" s="187"/>
      <c r="S1234" s="188"/>
    </row>
    <row r="1235" spans="2:19" ht="12.75">
      <c r="B1235" s="185"/>
      <c r="C1235" s="186"/>
      <c r="D1235" s="187"/>
      <c r="E1235" s="187"/>
      <c r="F1235" s="187"/>
      <c r="G1235" s="187"/>
      <c r="H1235" s="187"/>
      <c r="I1235" s="187"/>
      <c r="J1235" s="187"/>
      <c r="K1235" s="187"/>
      <c r="L1235" s="187"/>
      <c r="M1235" s="187"/>
      <c r="N1235" s="187"/>
      <c r="O1235" s="187"/>
      <c r="P1235" s="187"/>
      <c r="Q1235" s="187"/>
      <c r="R1235" s="187"/>
      <c r="S1235" s="188"/>
    </row>
    <row r="1236" spans="2:19" ht="12.75">
      <c r="B1236" s="185"/>
      <c r="C1236" s="186"/>
      <c r="D1236" s="187"/>
      <c r="E1236" s="187"/>
      <c r="F1236" s="187"/>
      <c r="G1236" s="187"/>
      <c r="H1236" s="187"/>
      <c r="I1236" s="187"/>
      <c r="J1236" s="187"/>
      <c r="K1236" s="187"/>
      <c r="L1236" s="187"/>
      <c r="M1236" s="187"/>
      <c r="N1236" s="187"/>
      <c r="O1236" s="187"/>
      <c r="P1236" s="187"/>
      <c r="Q1236" s="187"/>
      <c r="R1236" s="187"/>
      <c r="S1236" s="188"/>
    </row>
    <row r="1237" spans="2:19" ht="12.75">
      <c r="B1237" s="185"/>
      <c r="C1237" s="186"/>
      <c r="D1237" s="187"/>
      <c r="E1237" s="187"/>
      <c r="F1237" s="187"/>
      <c r="G1237" s="187"/>
      <c r="H1237" s="187"/>
      <c r="I1237" s="187"/>
      <c r="J1237" s="187"/>
      <c r="K1237" s="187"/>
      <c r="L1237" s="187"/>
      <c r="M1237" s="187"/>
      <c r="N1237" s="187"/>
      <c r="O1237" s="187"/>
      <c r="P1237" s="187"/>
      <c r="Q1237" s="187"/>
      <c r="R1237" s="187"/>
      <c r="S1237" s="188"/>
    </row>
    <row r="1238" spans="2:19" ht="12.75">
      <c r="B1238" s="185"/>
      <c r="C1238" s="186"/>
      <c r="D1238" s="187"/>
      <c r="E1238" s="187"/>
      <c r="F1238" s="187"/>
      <c r="G1238" s="187"/>
      <c r="H1238" s="187"/>
      <c r="I1238" s="187"/>
      <c r="J1238" s="187"/>
      <c r="K1238" s="187"/>
      <c r="L1238" s="187"/>
      <c r="M1238" s="187"/>
      <c r="N1238" s="187"/>
      <c r="O1238" s="187"/>
      <c r="P1238" s="187"/>
      <c r="Q1238" s="187"/>
      <c r="R1238" s="187"/>
      <c r="S1238" s="188"/>
    </row>
    <row r="1239" spans="2:19" ht="12.75">
      <c r="B1239" s="185"/>
      <c r="C1239" s="186"/>
      <c r="D1239" s="187"/>
      <c r="E1239" s="187"/>
      <c r="F1239" s="187"/>
      <c r="G1239" s="187"/>
      <c r="H1239" s="187"/>
      <c r="I1239" s="187"/>
      <c r="J1239" s="187"/>
      <c r="K1239" s="187"/>
      <c r="L1239" s="187"/>
      <c r="M1239" s="187"/>
      <c r="N1239" s="187"/>
      <c r="O1239" s="187"/>
      <c r="P1239" s="187"/>
      <c r="Q1239" s="187"/>
      <c r="R1239" s="187"/>
      <c r="S1239" s="188"/>
    </row>
    <row r="1240" spans="2:19" ht="12.75">
      <c r="B1240" s="185"/>
      <c r="C1240" s="186"/>
      <c r="D1240" s="187"/>
      <c r="E1240" s="187"/>
      <c r="F1240" s="187"/>
      <c r="G1240" s="187"/>
      <c r="H1240" s="187"/>
      <c r="I1240" s="187"/>
      <c r="J1240" s="187"/>
      <c r="K1240" s="187"/>
      <c r="L1240" s="187"/>
      <c r="M1240" s="187"/>
      <c r="N1240" s="187"/>
      <c r="O1240" s="187"/>
      <c r="P1240" s="187"/>
      <c r="Q1240" s="187"/>
      <c r="R1240" s="187"/>
      <c r="S1240" s="188"/>
    </row>
    <row r="1241" spans="2:19" ht="12.75">
      <c r="B1241" s="185"/>
      <c r="C1241" s="186"/>
      <c r="D1241" s="187"/>
      <c r="E1241" s="187"/>
      <c r="F1241" s="187"/>
      <c r="G1241" s="187"/>
      <c r="H1241" s="187"/>
      <c r="I1241" s="187"/>
      <c r="J1241" s="187"/>
      <c r="K1241" s="187"/>
      <c r="L1241" s="187"/>
      <c r="M1241" s="187"/>
      <c r="N1241" s="187"/>
      <c r="O1241" s="187"/>
      <c r="P1241" s="187"/>
      <c r="Q1241" s="187"/>
      <c r="R1241" s="187"/>
      <c r="S1241" s="188"/>
    </row>
    <row r="1242" spans="2:19" ht="12.75">
      <c r="B1242" s="185"/>
      <c r="C1242" s="186"/>
      <c r="D1242" s="187"/>
      <c r="E1242" s="187"/>
      <c r="F1242" s="187"/>
      <c r="G1242" s="187"/>
      <c r="H1242" s="187"/>
      <c r="I1242" s="187"/>
      <c r="J1242" s="187"/>
      <c r="K1242" s="187"/>
      <c r="L1242" s="187"/>
      <c r="M1242" s="187"/>
      <c r="N1242" s="187"/>
      <c r="O1242" s="187"/>
      <c r="P1242" s="187"/>
      <c r="Q1242" s="187"/>
      <c r="R1242" s="187"/>
      <c r="S1242" s="188"/>
    </row>
    <row r="1243" spans="2:19" ht="12.75">
      <c r="B1243" s="185"/>
      <c r="C1243" s="186"/>
      <c r="D1243" s="187"/>
      <c r="E1243" s="187"/>
      <c r="F1243" s="187"/>
      <c r="G1243" s="187"/>
      <c r="H1243" s="187"/>
      <c r="I1243" s="187"/>
      <c r="J1243" s="187"/>
      <c r="K1243" s="187"/>
      <c r="L1243" s="187"/>
      <c r="M1243" s="187"/>
      <c r="N1243" s="187"/>
      <c r="O1243" s="187"/>
      <c r="P1243" s="187"/>
      <c r="Q1243" s="187"/>
      <c r="R1243" s="187"/>
      <c r="S1243" s="188"/>
    </row>
    <row r="1244" spans="2:19" ht="12.75">
      <c r="B1244" s="185"/>
      <c r="C1244" s="186"/>
      <c r="D1244" s="187"/>
      <c r="E1244" s="187"/>
      <c r="F1244" s="187"/>
      <c r="G1244" s="187"/>
      <c r="H1244" s="187"/>
      <c r="I1244" s="187"/>
      <c r="J1244" s="187"/>
      <c r="K1244" s="187"/>
      <c r="L1244" s="187"/>
      <c r="M1244" s="187"/>
      <c r="N1244" s="187"/>
      <c r="O1244" s="187"/>
      <c r="P1244" s="187"/>
      <c r="Q1244" s="187"/>
      <c r="R1244" s="187"/>
      <c r="S1244" s="188"/>
    </row>
    <row r="1245" spans="2:19" ht="12.75">
      <c r="B1245" s="185"/>
      <c r="C1245" s="186"/>
      <c r="D1245" s="187"/>
      <c r="E1245" s="187"/>
      <c r="F1245" s="187"/>
      <c r="G1245" s="187"/>
      <c r="H1245" s="187"/>
      <c r="I1245" s="187"/>
      <c r="J1245" s="187"/>
      <c r="K1245" s="187"/>
      <c r="L1245" s="187"/>
      <c r="M1245" s="187"/>
      <c r="N1245" s="187"/>
      <c r="O1245" s="187"/>
      <c r="P1245" s="187"/>
      <c r="Q1245" s="187"/>
      <c r="R1245" s="187"/>
      <c r="S1245" s="188"/>
    </row>
    <row r="1246" spans="2:19" ht="12.75">
      <c r="B1246" s="185"/>
      <c r="C1246" s="186"/>
      <c r="D1246" s="187"/>
      <c r="E1246" s="187"/>
      <c r="F1246" s="187"/>
      <c r="G1246" s="187"/>
      <c r="H1246" s="187"/>
      <c r="I1246" s="187"/>
      <c r="J1246" s="187"/>
      <c r="K1246" s="187"/>
      <c r="L1246" s="187"/>
      <c r="M1246" s="187"/>
      <c r="N1246" s="187"/>
      <c r="O1246" s="187"/>
      <c r="P1246" s="187"/>
      <c r="Q1246" s="187"/>
      <c r="R1246" s="187"/>
      <c r="S1246" s="188"/>
    </row>
    <row r="1247" spans="2:19" ht="12.75">
      <c r="B1247" s="185"/>
      <c r="C1247" s="186"/>
      <c r="D1247" s="187"/>
      <c r="E1247" s="187"/>
      <c r="F1247" s="187"/>
      <c r="G1247" s="187"/>
      <c r="H1247" s="187"/>
      <c r="I1247" s="187"/>
      <c r="J1247" s="187"/>
      <c r="K1247" s="187"/>
      <c r="L1247" s="187"/>
      <c r="M1247" s="187"/>
      <c r="N1247" s="187"/>
      <c r="O1247" s="187"/>
      <c r="P1247" s="187"/>
      <c r="Q1247" s="187"/>
      <c r="R1247" s="187"/>
      <c r="S1247" s="188"/>
    </row>
    <row r="1248" spans="2:19" ht="12.75">
      <c r="B1248" s="185"/>
      <c r="C1248" s="186"/>
      <c r="D1248" s="187"/>
      <c r="E1248" s="187"/>
      <c r="F1248" s="187"/>
      <c r="G1248" s="187"/>
      <c r="H1248" s="187"/>
      <c r="I1248" s="187"/>
      <c r="J1248" s="187"/>
      <c r="K1248" s="187"/>
      <c r="L1248" s="187"/>
      <c r="M1248" s="187"/>
      <c r="N1248" s="187"/>
      <c r="O1248" s="187"/>
      <c r="P1248" s="187"/>
      <c r="Q1248" s="187"/>
      <c r="R1248" s="187"/>
      <c r="S1248" s="188"/>
    </row>
    <row r="1249" spans="2:19" ht="12.75">
      <c r="B1249" s="185"/>
      <c r="C1249" s="186"/>
      <c r="D1249" s="187"/>
      <c r="E1249" s="187"/>
      <c r="F1249" s="187"/>
      <c r="G1249" s="187"/>
      <c r="H1249" s="187"/>
      <c r="I1249" s="187"/>
      <c r="J1249" s="187"/>
      <c r="K1249" s="187"/>
      <c r="L1249" s="187"/>
      <c r="M1249" s="187"/>
      <c r="N1249" s="187"/>
      <c r="O1249" s="187"/>
      <c r="P1249" s="187"/>
      <c r="Q1249" s="187"/>
      <c r="R1249" s="187"/>
      <c r="S1249" s="188"/>
    </row>
    <row r="1250" spans="2:19" ht="12.75">
      <c r="B1250" s="185"/>
      <c r="C1250" s="186"/>
      <c r="D1250" s="187"/>
      <c r="E1250" s="187"/>
      <c r="F1250" s="187"/>
      <c r="G1250" s="187"/>
      <c r="H1250" s="187"/>
      <c r="I1250" s="187"/>
      <c r="J1250" s="187"/>
      <c r="K1250" s="187"/>
      <c r="L1250" s="187"/>
      <c r="M1250" s="187"/>
      <c r="N1250" s="187"/>
      <c r="O1250" s="187"/>
      <c r="P1250" s="187"/>
      <c r="Q1250" s="187"/>
      <c r="R1250" s="187"/>
      <c r="S1250" s="188"/>
    </row>
    <row r="1251" spans="2:19" ht="12.75">
      <c r="B1251" s="185"/>
      <c r="C1251" s="186"/>
      <c r="D1251" s="187"/>
      <c r="E1251" s="187"/>
      <c r="F1251" s="187"/>
      <c r="G1251" s="187"/>
      <c r="H1251" s="187"/>
      <c r="I1251" s="187"/>
      <c r="J1251" s="187"/>
      <c r="K1251" s="187"/>
      <c r="L1251" s="187"/>
      <c r="M1251" s="187"/>
      <c r="N1251" s="187"/>
      <c r="O1251" s="187"/>
      <c r="P1251" s="187"/>
      <c r="Q1251" s="187"/>
      <c r="R1251" s="187"/>
      <c r="S1251" s="188"/>
    </row>
    <row r="1252" spans="2:19" ht="12.75">
      <c r="B1252" s="185"/>
      <c r="C1252" s="186"/>
      <c r="D1252" s="187"/>
      <c r="E1252" s="187"/>
      <c r="F1252" s="187"/>
      <c r="G1252" s="187"/>
      <c r="H1252" s="187"/>
      <c r="I1252" s="187"/>
      <c r="J1252" s="187"/>
      <c r="K1252" s="187"/>
      <c r="L1252" s="187"/>
      <c r="M1252" s="187"/>
      <c r="N1252" s="187"/>
      <c r="O1252" s="187"/>
      <c r="P1252" s="187"/>
      <c r="Q1252" s="187"/>
      <c r="R1252" s="187"/>
      <c r="S1252" s="188"/>
    </row>
    <row r="1253" spans="2:19" ht="12.75">
      <c r="B1253" s="185"/>
      <c r="C1253" s="186"/>
      <c r="D1253" s="187"/>
      <c r="E1253" s="187"/>
      <c r="F1253" s="187"/>
      <c r="G1253" s="187"/>
      <c r="H1253" s="187"/>
      <c r="I1253" s="187"/>
      <c r="J1253" s="187"/>
      <c r="K1253" s="187"/>
      <c r="L1253" s="187"/>
      <c r="M1253" s="187"/>
      <c r="N1253" s="187"/>
      <c r="O1253" s="187"/>
      <c r="P1253" s="187"/>
      <c r="Q1253" s="187"/>
      <c r="R1253" s="187"/>
      <c r="S1253" s="188"/>
    </row>
    <row r="1254" spans="2:19" ht="12.75">
      <c r="B1254" s="185"/>
      <c r="C1254" s="186"/>
      <c r="D1254" s="187"/>
      <c r="E1254" s="187"/>
      <c r="F1254" s="187"/>
      <c r="G1254" s="187"/>
      <c r="H1254" s="187"/>
      <c r="I1254" s="187"/>
      <c r="J1254" s="187"/>
      <c r="K1254" s="187"/>
      <c r="L1254" s="187"/>
      <c r="M1254" s="187"/>
      <c r="N1254" s="187"/>
      <c r="O1254" s="187"/>
      <c r="P1254" s="187"/>
      <c r="Q1254" s="187"/>
      <c r="R1254" s="187"/>
      <c r="S1254" s="188"/>
    </row>
    <row r="1255" spans="2:19" ht="12.75">
      <c r="B1255" s="185"/>
      <c r="C1255" s="186"/>
      <c r="D1255" s="187"/>
      <c r="E1255" s="187"/>
      <c r="F1255" s="187"/>
      <c r="G1255" s="187"/>
      <c r="H1255" s="187"/>
      <c r="I1255" s="187"/>
      <c r="J1255" s="187"/>
      <c r="K1255" s="187"/>
      <c r="L1255" s="187"/>
      <c r="M1255" s="187"/>
      <c r="N1255" s="187"/>
      <c r="O1255" s="187"/>
      <c r="P1255" s="187"/>
      <c r="Q1255" s="187"/>
      <c r="R1255" s="187"/>
      <c r="S1255" s="188"/>
    </row>
    <row r="1256" spans="2:19" ht="12.75">
      <c r="B1256" s="185"/>
      <c r="C1256" s="186"/>
      <c r="D1256" s="187"/>
      <c r="E1256" s="187"/>
      <c r="F1256" s="187"/>
      <c r="G1256" s="187"/>
      <c r="H1256" s="187"/>
      <c r="I1256" s="187"/>
      <c r="J1256" s="187"/>
      <c r="K1256" s="187"/>
      <c r="L1256" s="187"/>
      <c r="M1256" s="187"/>
      <c r="N1256" s="187"/>
      <c r="O1256" s="187"/>
      <c r="P1256" s="187"/>
      <c r="Q1256" s="187"/>
      <c r="R1256" s="187"/>
      <c r="S1256" s="188"/>
    </row>
    <row r="1257" spans="2:19" ht="12.75">
      <c r="B1257" s="185"/>
      <c r="C1257" s="186"/>
      <c r="D1257" s="187"/>
      <c r="E1257" s="187"/>
      <c r="F1257" s="187"/>
      <c r="G1257" s="187"/>
      <c r="H1257" s="187"/>
      <c r="I1257" s="187"/>
      <c r="J1257" s="187"/>
      <c r="K1257" s="187"/>
      <c r="L1257" s="187"/>
      <c r="M1257" s="187"/>
      <c r="N1257" s="187"/>
      <c r="O1257" s="187"/>
      <c r="P1257" s="187"/>
      <c r="Q1257" s="187"/>
      <c r="R1257" s="187"/>
      <c r="S1257" s="188"/>
    </row>
    <row r="1258" spans="2:19" ht="12.75">
      <c r="B1258" s="185"/>
      <c r="C1258" s="186"/>
      <c r="D1258" s="187"/>
      <c r="E1258" s="187"/>
      <c r="F1258" s="187"/>
      <c r="G1258" s="187"/>
      <c r="H1258" s="187"/>
      <c r="I1258" s="187"/>
      <c r="J1258" s="187"/>
      <c r="K1258" s="187"/>
      <c r="L1258" s="187"/>
      <c r="M1258" s="187"/>
      <c r="N1258" s="187"/>
      <c r="O1258" s="187"/>
      <c r="P1258" s="187"/>
      <c r="Q1258" s="187"/>
      <c r="R1258" s="187"/>
      <c r="S1258" s="188"/>
    </row>
    <row r="1259" spans="2:19" ht="12.75">
      <c r="B1259" s="185"/>
      <c r="C1259" s="186"/>
      <c r="D1259" s="187"/>
      <c r="E1259" s="187"/>
      <c r="F1259" s="187"/>
      <c r="G1259" s="187"/>
      <c r="H1259" s="187"/>
      <c r="I1259" s="187"/>
      <c r="J1259" s="187"/>
      <c r="K1259" s="187"/>
      <c r="L1259" s="187"/>
      <c r="M1259" s="187"/>
      <c r="N1259" s="187"/>
      <c r="O1259" s="187"/>
      <c r="P1259" s="187"/>
      <c r="Q1259" s="187"/>
      <c r="R1259" s="187"/>
      <c r="S1259" s="188"/>
    </row>
    <row r="1260" spans="2:19" ht="12.75">
      <c r="B1260" s="185"/>
      <c r="C1260" s="186"/>
      <c r="D1260" s="187"/>
      <c r="E1260" s="187"/>
      <c r="F1260" s="187"/>
      <c r="G1260" s="187"/>
      <c r="H1260" s="187"/>
      <c r="I1260" s="187"/>
      <c r="J1260" s="187"/>
      <c r="K1260" s="187"/>
      <c r="L1260" s="187"/>
      <c r="M1260" s="187"/>
      <c r="N1260" s="187"/>
      <c r="O1260" s="187"/>
      <c r="P1260" s="187"/>
      <c r="Q1260" s="187"/>
      <c r="R1260" s="187"/>
      <c r="S1260" s="188"/>
    </row>
    <row r="1261" spans="2:19" ht="12.75">
      <c r="B1261" s="185"/>
      <c r="C1261" s="186"/>
      <c r="D1261" s="187"/>
      <c r="E1261" s="187"/>
      <c r="F1261" s="187"/>
      <c r="G1261" s="187"/>
      <c r="H1261" s="187"/>
      <c r="I1261" s="187"/>
      <c r="J1261" s="187"/>
      <c r="K1261" s="187"/>
      <c r="L1261" s="187"/>
      <c r="M1261" s="187"/>
      <c r="N1261" s="187"/>
      <c r="O1261" s="187"/>
      <c r="P1261" s="187"/>
      <c r="Q1261" s="187"/>
      <c r="R1261" s="187"/>
      <c r="S1261" s="188"/>
    </row>
    <row r="1262" spans="2:19" ht="12.75">
      <c r="B1262" s="185"/>
      <c r="C1262" s="186"/>
      <c r="D1262" s="187"/>
      <c r="E1262" s="187"/>
      <c r="F1262" s="187"/>
      <c r="G1262" s="187"/>
      <c r="H1262" s="187"/>
      <c r="I1262" s="187"/>
      <c r="J1262" s="187"/>
      <c r="K1262" s="187"/>
      <c r="L1262" s="187"/>
      <c r="M1262" s="187"/>
      <c r="N1262" s="187"/>
      <c r="O1262" s="187"/>
      <c r="P1262" s="187"/>
      <c r="Q1262" s="187"/>
      <c r="R1262" s="187"/>
      <c r="S1262" s="188"/>
    </row>
    <row r="1263" spans="2:19" ht="12.75">
      <c r="B1263" s="185"/>
      <c r="C1263" s="186"/>
      <c r="D1263" s="187"/>
      <c r="E1263" s="187"/>
      <c r="F1263" s="187"/>
      <c r="G1263" s="187"/>
      <c r="H1263" s="187"/>
      <c r="I1263" s="187"/>
      <c r="J1263" s="187"/>
      <c r="K1263" s="187"/>
      <c r="L1263" s="187"/>
      <c r="M1263" s="187"/>
      <c r="N1263" s="187"/>
      <c r="O1263" s="187"/>
      <c r="P1263" s="187"/>
      <c r="Q1263" s="187"/>
      <c r="R1263" s="187"/>
      <c r="S1263" s="188"/>
    </row>
    <row r="1264" spans="2:19" ht="12.75">
      <c r="B1264" s="185"/>
      <c r="C1264" s="186"/>
      <c r="D1264" s="187"/>
      <c r="E1264" s="187"/>
      <c r="F1264" s="187"/>
      <c r="G1264" s="187"/>
      <c r="H1264" s="187"/>
      <c r="I1264" s="187"/>
      <c r="J1264" s="187"/>
      <c r="K1264" s="187"/>
      <c r="L1264" s="187"/>
      <c r="M1264" s="187"/>
      <c r="N1264" s="187"/>
      <c r="O1264" s="187"/>
      <c r="P1264" s="187"/>
      <c r="Q1264" s="187"/>
      <c r="R1264" s="187"/>
      <c r="S1264" s="188"/>
    </row>
    <row r="1265" spans="2:19" ht="12.75">
      <c r="B1265" s="185"/>
      <c r="C1265" s="186"/>
      <c r="D1265" s="187"/>
      <c r="E1265" s="187"/>
      <c r="F1265" s="187"/>
      <c r="G1265" s="187"/>
      <c r="H1265" s="187"/>
      <c r="I1265" s="187"/>
      <c r="J1265" s="187"/>
      <c r="K1265" s="187"/>
      <c r="L1265" s="187"/>
      <c r="M1265" s="187"/>
      <c r="N1265" s="187"/>
      <c r="O1265" s="187"/>
      <c r="P1265" s="187"/>
      <c r="Q1265" s="187"/>
      <c r="R1265" s="187"/>
      <c r="S1265" s="188"/>
    </row>
    <row r="1266" spans="2:19" ht="12.75">
      <c r="B1266" s="185"/>
      <c r="C1266" s="186"/>
      <c r="D1266" s="187"/>
      <c r="E1266" s="187"/>
      <c r="F1266" s="187"/>
      <c r="G1266" s="187"/>
      <c r="H1266" s="187"/>
      <c r="I1266" s="187"/>
      <c r="J1266" s="187"/>
      <c r="K1266" s="187"/>
      <c r="L1266" s="187"/>
      <c r="M1266" s="187"/>
      <c r="N1266" s="187"/>
      <c r="O1266" s="187"/>
      <c r="P1266" s="187"/>
      <c r="Q1266" s="187"/>
      <c r="R1266" s="187"/>
      <c r="S1266" s="188"/>
    </row>
    <row r="1267" spans="2:19" ht="12.75">
      <c r="B1267" s="185"/>
      <c r="C1267" s="186"/>
      <c r="D1267" s="187"/>
      <c r="E1267" s="187"/>
      <c r="F1267" s="187"/>
      <c r="G1267" s="187"/>
      <c r="H1267" s="187"/>
      <c r="I1267" s="187"/>
      <c r="J1267" s="187"/>
      <c r="K1267" s="187"/>
      <c r="L1267" s="187"/>
      <c r="M1267" s="187"/>
      <c r="N1267" s="187"/>
      <c r="O1267" s="187"/>
      <c r="P1267" s="187"/>
      <c r="Q1267" s="187"/>
      <c r="R1267" s="187"/>
      <c r="S1267" s="188"/>
    </row>
    <row r="1268" spans="2:19" ht="12.75">
      <c r="B1268" s="185"/>
      <c r="C1268" s="186"/>
      <c r="D1268" s="187"/>
      <c r="E1268" s="187"/>
      <c r="F1268" s="187"/>
      <c r="G1268" s="187"/>
      <c r="H1268" s="187"/>
      <c r="I1268" s="187"/>
      <c r="J1268" s="187"/>
      <c r="K1268" s="187"/>
      <c r="L1268" s="187"/>
      <c r="M1268" s="187"/>
      <c r="N1268" s="187"/>
      <c r="O1268" s="187"/>
      <c r="P1268" s="187"/>
      <c r="Q1268" s="187"/>
      <c r="R1268" s="187"/>
      <c r="S1268" s="188"/>
    </row>
    <row r="1269" spans="2:19" ht="12.75">
      <c r="B1269" s="185"/>
      <c r="C1269" s="186"/>
      <c r="D1269" s="187"/>
      <c r="E1269" s="187"/>
      <c r="F1269" s="187"/>
      <c r="G1269" s="187"/>
      <c r="H1269" s="187"/>
      <c r="I1269" s="187"/>
      <c r="J1269" s="187"/>
      <c r="K1269" s="187"/>
      <c r="L1269" s="187"/>
      <c r="M1269" s="187"/>
      <c r="N1269" s="187"/>
      <c r="O1269" s="187"/>
      <c r="P1269" s="187"/>
      <c r="Q1269" s="187"/>
      <c r="R1269" s="187"/>
      <c r="S1269" s="188"/>
    </row>
    <row r="1270" spans="2:19" ht="12.75">
      <c r="B1270" s="185"/>
      <c r="C1270" s="186"/>
      <c r="D1270" s="187"/>
      <c r="E1270" s="187"/>
      <c r="F1270" s="187"/>
      <c r="G1270" s="187"/>
      <c r="H1270" s="187"/>
      <c r="I1270" s="187"/>
      <c r="J1270" s="187"/>
      <c r="K1270" s="187"/>
      <c r="L1270" s="187"/>
      <c r="M1270" s="187"/>
      <c r="N1270" s="187"/>
      <c r="O1270" s="187"/>
      <c r="P1270" s="187"/>
      <c r="Q1270" s="187"/>
      <c r="R1270" s="187"/>
      <c r="S1270" s="188"/>
    </row>
    <row r="1271" spans="2:19" ht="12.75">
      <c r="B1271" s="185"/>
      <c r="C1271" s="186"/>
      <c r="D1271" s="187"/>
      <c r="E1271" s="187"/>
      <c r="F1271" s="187"/>
      <c r="G1271" s="187"/>
      <c r="H1271" s="187"/>
      <c r="I1271" s="187"/>
      <c r="J1271" s="187"/>
      <c r="K1271" s="187"/>
      <c r="L1271" s="187"/>
      <c r="M1271" s="187"/>
      <c r="N1271" s="187"/>
      <c r="O1271" s="187"/>
      <c r="P1271" s="187"/>
      <c r="Q1271" s="187"/>
      <c r="R1271" s="187"/>
      <c r="S1271" s="188"/>
    </row>
    <row r="1272" spans="2:19" ht="12.75">
      <c r="B1272" s="185"/>
      <c r="C1272" s="186"/>
      <c r="D1272" s="187"/>
      <c r="E1272" s="187"/>
      <c r="F1272" s="187"/>
      <c r="G1272" s="187"/>
      <c r="H1272" s="187"/>
      <c r="I1272" s="187"/>
      <c r="J1272" s="187"/>
      <c r="K1272" s="187"/>
      <c r="L1272" s="187"/>
      <c r="M1272" s="187"/>
      <c r="N1272" s="187"/>
      <c r="O1272" s="187"/>
      <c r="P1272" s="187"/>
      <c r="Q1272" s="187"/>
      <c r="R1272" s="187"/>
      <c r="S1272" s="188"/>
    </row>
    <row r="1273" spans="2:19" ht="12.75">
      <c r="B1273" s="185"/>
      <c r="C1273" s="186"/>
      <c r="D1273" s="187"/>
      <c r="E1273" s="187"/>
      <c r="F1273" s="187"/>
      <c r="G1273" s="187"/>
      <c r="H1273" s="187"/>
      <c r="I1273" s="187"/>
      <c r="J1273" s="187"/>
      <c r="K1273" s="187"/>
      <c r="L1273" s="187"/>
      <c r="M1273" s="187"/>
      <c r="N1273" s="187"/>
      <c r="O1273" s="187"/>
      <c r="P1273" s="187"/>
      <c r="Q1273" s="187"/>
      <c r="R1273" s="187"/>
      <c r="S1273" s="188"/>
    </row>
    <row r="1274" spans="2:19" ht="12.75">
      <c r="B1274" s="185"/>
      <c r="C1274" s="186"/>
      <c r="D1274" s="187"/>
      <c r="E1274" s="187"/>
      <c r="F1274" s="187"/>
      <c r="G1274" s="187"/>
      <c r="H1274" s="187"/>
      <c r="I1274" s="187"/>
      <c r="J1274" s="187"/>
      <c r="K1274" s="187"/>
      <c r="L1274" s="187"/>
      <c r="M1274" s="187"/>
      <c r="N1274" s="187"/>
      <c r="O1274" s="187"/>
      <c r="P1274" s="187"/>
      <c r="Q1274" s="187"/>
      <c r="R1274" s="187"/>
      <c r="S1274" s="188"/>
    </row>
    <row r="1275" spans="2:19" ht="12.75">
      <c r="B1275" s="185"/>
      <c r="C1275" s="186"/>
      <c r="D1275" s="187"/>
      <c r="E1275" s="187"/>
      <c r="F1275" s="187"/>
      <c r="G1275" s="187"/>
      <c r="H1275" s="187"/>
      <c r="I1275" s="187"/>
      <c r="J1275" s="187"/>
      <c r="K1275" s="187"/>
      <c r="L1275" s="187"/>
      <c r="M1275" s="187"/>
      <c r="N1275" s="187"/>
      <c r="O1275" s="187"/>
      <c r="P1275" s="187"/>
      <c r="Q1275" s="187"/>
      <c r="R1275" s="187"/>
      <c r="S1275" s="188"/>
    </row>
    <row r="1276" spans="2:19" ht="12.75">
      <c r="B1276" s="185"/>
      <c r="C1276" s="186"/>
      <c r="D1276" s="187"/>
      <c r="E1276" s="187"/>
      <c r="F1276" s="187"/>
      <c r="G1276" s="187"/>
      <c r="H1276" s="187"/>
      <c r="I1276" s="187"/>
      <c r="J1276" s="187"/>
      <c r="K1276" s="187"/>
      <c r="L1276" s="187"/>
      <c r="M1276" s="187"/>
      <c r="N1276" s="187"/>
      <c r="O1276" s="187"/>
      <c r="P1276" s="187"/>
      <c r="Q1276" s="187"/>
      <c r="R1276" s="187"/>
      <c r="S1276" s="188"/>
    </row>
    <row r="1277" spans="2:19" ht="12.75">
      <c r="B1277" s="185"/>
      <c r="C1277" s="186"/>
      <c r="D1277" s="187"/>
      <c r="E1277" s="187"/>
      <c r="F1277" s="187"/>
      <c r="G1277" s="187"/>
      <c r="H1277" s="187"/>
      <c r="I1277" s="187"/>
      <c r="J1277" s="187"/>
      <c r="K1277" s="187"/>
      <c r="L1277" s="187"/>
      <c r="M1277" s="187"/>
      <c r="N1277" s="187"/>
      <c r="O1277" s="187"/>
      <c r="P1277" s="187"/>
      <c r="Q1277" s="187"/>
      <c r="R1277" s="187"/>
      <c r="S1277" s="188"/>
    </row>
    <row r="1278" spans="2:19" ht="12.75">
      <c r="B1278" s="185"/>
      <c r="C1278" s="186"/>
      <c r="D1278" s="187"/>
      <c r="E1278" s="187"/>
      <c r="F1278" s="187"/>
      <c r="G1278" s="187"/>
      <c r="H1278" s="187"/>
      <c r="I1278" s="187"/>
      <c r="J1278" s="187"/>
      <c r="K1278" s="187"/>
      <c r="L1278" s="187"/>
      <c r="M1278" s="187"/>
      <c r="N1278" s="187"/>
      <c r="O1278" s="187"/>
      <c r="P1278" s="187"/>
      <c r="Q1278" s="187"/>
      <c r="R1278" s="187"/>
      <c r="S1278" s="188"/>
    </row>
    <row r="1279" spans="2:19" ht="12.75">
      <c r="B1279" s="185"/>
      <c r="C1279" s="186"/>
      <c r="D1279" s="187"/>
      <c r="E1279" s="187"/>
      <c r="F1279" s="187"/>
      <c r="G1279" s="187"/>
      <c r="H1279" s="187"/>
      <c r="I1279" s="187"/>
      <c r="J1279" s="187"/>
      <c r="K1279" s="187"/>
      <c r="L1279" s="187"/>
      <c r="M1279" s="187"/>
      <c r="N1279" s="187"/>
      <c r="O1279" s="187"/>
      <c r="P1279" s="187"/>
      <c r="Q1279" s="187"/>
      <c r="R1279" s="187"/>
      <c r="S1279" s="188"/>
    </row>
    <row r="1280" spans="2:19" ht="12.75">
      <c r="B1280" s="185"/>
      <c r="C1280" s="186"/>
      <c r="D1280" s="187"/>
      <c r="E1280" s="187"/>
      <c r="F1280" s="187"/>
      <c r="G1280" s="187"/>
      <c r="H1280" s="187"/>
      <c r="I1280" s="187"/>
      <c r="J1280" s="187"/>
      <c r="K1280" s="187"/>
      <c r="L1280" s="187"/>
      <c r="M1280" s="187"/>
      <c r="N1280" s="187"/>
      <c r="O1280" s="187"/>
      <c r="P1280" s="187"/>
      <c r="Q1280" s="187"/>
      <c r="R1280" s="187"/>
      <c r="S1280" s="188"/>
    </row>
    <row r="1281" spans="2:19" ht="12.75">
      <c r="B1281" s="185"/>
      <c r="C1281" s="186"/>
      <c r="D1281" s="187"/>
      <c r="E1281" s="187"/>
      <c r="F1281" s="187"/>
      <c r="G1281" s="187"/>
      <c r="H1281" s="187"/>
      <c r="I1281" s="187"/>
      <c r="J1281" s="187"/>
      <c r="K1281" s="187"/>
      <c r="L1281" s="187"/>
      <c r="M1281" s="187"/>
      <c r="N1281" s="187"/>
      <c r="O1281" s="187"/>
      <c r="P1281" s="187"/>
      <c r="Q1281" s="187"/>
      <c r="R1281" s="187"/>
      <c r="S1281" s="188"/>
    </row>
    <row r="1282" spans="2:19" ht="12.75">
      <c r="B1282" s="185"/>
      <c r="C1282" s="186"/>
      <c r="D1282" s="187"/>
      <c r="E1282" s="187"/>
      <c r="F1282" s="187"/>
      <c r="G1282" s="187"/>
      <c r="H1282" s="187"/>
      <c r="I1282" s="187"/>
      <c r="J1282" s="187"/>
      <c r="K1282" s="187"/>
      <c r="L1282" s="187"/>
      <c r="M1282" s="187"/>
      <c r="N1282" s="187"/>
      <c r="O1282" s="187"/>
      <c r="P1282" s="187"/>
      <c r="Q1282" s="187"/>
      <c r="R1282" s="187"/>
      <c r="S1282" s="188"/>
    </row>
    <row r="1283" spans="2:19" ht="12.75">
      <c r="B1283" s="185"/>
      <c r="C1283" s="186"/>
      <c r="D1283" s="187"/>
      <c r="E1283" s="187"/>
      <c r="F1283" s="187"/>
      <c r="G1283" s="187"/>
      <c r="H1283" s="187"/>
      <c r="I1283" s="187"/>
      <c r="J1283" s="187"/>
      <c r="K1283" s="187"/>
      <c r="L1283" s="187"/>
      <c r="M1283" s="187"/>
      <c r="N1283" s="187"/>
      <c r="O1283" s="187"/>
      <c r="P1283" s="187"/>
      <c r="Q1283" s="187"/>
      <c r="R1283" s="187"/>
      <c r="S1283" s="188"/>
    </row>
    <row r="1284" spans="2:19" ht="12.75">
      <c r="B1284" s="185"/>
      <c r="C1284" s="186"/>
      <c r="D1284" s="187"/>
      <c r="E1284" s="187"/>
      <c r="F1284" s="187"/>
      <c r="G1284" s="187"/>
      <c r="H1284" s="187"/>
      <c r="I1284" s="187"/>
      <c r="J1284" s="187"/>
      <c r="K1284" s="187"/>
      <c r="L1284" s="187"/>
      <c r="M1284" s="187"/>
      <c r="N1284" s="187"/>
      <c r="O1284" s="187"/>
      <c r="P1284" s="187"/>
      <c r="Q1284" s="187"/>
      <c r="R1284" s="187"/>
      <c r="S1284" s="188"/>
    </row>
    <row r="1285" spans="2:19" ht="12.75">
      <c r="B1285" s="185"/>
      <c r="C1285" s="186"/>
      <c r="D1285" s="187"/>
      <c r="E1285" s="187"/>
      <c r="F1285" s="187"/>
      <c r="G1285" s="187"/>
      <c r="H1285" s="187"/>
      <c r="I1285" s="187"/>
      <c r="J1285" s="187"/>
      <c r="K1285" s="187"/>
      <c r="L1285" s="187"/>
      <c r="M1285" s="187"/>
      <c r="N1285" s="187"/>
      <c r="O1285" s="187"/>
      <c r="P1285" s="187"/>
      <c r="Q1285" s="187"/>
      <c r="R1285" s="187"/>
      <c r="S1285" s="188"/>
    </row>
    <row r="1286" spans="2:19" ht="12.75">
      <c r="B1286" s="185"/>
      <c r="C1286" s="186"/>
      <c r="D1286" s="187"/>
      <c r="E1286" s="187"/>
      <c r="F1286" s="187"/>
      <c r="G1286" s="187"/>
      <c r="H1286" s="187"/>
      <c r="I1286" s="187"/>
      <c r="J1286" s="187"/>
      <c r="K1286" s="187"/>
      <c r="L1286" s="187"/>
      <c r="M1286" s="187"/>
      <c r="N1286" s="187"/>
      <c r="O1286" s="187"/>
      <c r="P1286" s="187"/>
      <c r="Q1286" s="187"/>
      <c r="R1286" s="187"/>
      <c r="S1286" s="188"/>
    </row>
    <row r="1287" spans="2:19" ht="12.75">
      <c r="B1287" s="185"/>
      <c r="C1287" s="186"/>
      <c r="D1287" s="187"/>
      <c r="E1287" s="187"/>
      <c r="F1287" s="187"/>
      <c r="G1287" s="187"/>
      <c r="H1287" s="187"/>
      <c r="I1287" s="187"/>
      <c r="J1287" s="187"/>
      <c r="K1287" s="187"/>
      <c r="L1287" s="187"/>
      <c r="M1287" s="187"/>
      <c r="N1287" s="187"/>
      <c r="O1287" s="187"/>
      <c r="P1287" s="187"/>
      <c r="Q1287" s="187"/>
      <c r="R1287" s="187"/>
      <c r="S1287" s="188"/>
    </row>
    <row r="1288" spans="2:19" ht="12.75">
      <c r="B1288" s="185"/>
      <c r="C1288" s="186"/>
      <c r="D1288" s="187"/>
      <c r="E1288" s="187"/>
      <c r="F1288" s="187"/>
      <c r="G1288" s="187"/>
      <c r="H1288" s="187"/>
      <c r="I1288" s="187"/>
      <c r="J1288" s="187"/>
      <c r="K1288" s="187"/>
      <c r="L1288" s="187"/>
      <c r="M1288" s="187"/>
      <c r="N1288" s="187"/>
      <c r="O1288" s="187"/>
      <c r="P1288" s="187"/>
      <c r="Q1288" s="187"/>
      <c r="R1288" s="187"/>
      <c r="S1288" s="188"/>
    </row>
    <row r="1289" spans="2:19" ht="12.75">
      <c r="B1289" s="185"/>
      <c r="C1289" s="186"/>
      <c r="D1289" s="187"/>
      <c r="E1289" s="187"/>
      <c r="F1289" s="187"/>
      <c r="G1289" s="187"/>
      <c r="H1289" s="187"/>
      <c r="I1289" s="187"/>
      <c r="J1289" s="187"/>
      <c r="K1289" s="187"/>
      <c r="L1289" s="187"/>
      <c r="M1289" s="187"/>
      <c r="N1289" s="187"/>
      <c r="O1289" s="187"/>
      <c r="P1289" s="187"/>
      <c r="Q1289" s="187"/>
      <c r="R1289" s="187"/>
      <c r="S1289" s="188"/>
    </row>
    <row r="1290" spans="2:19" ht="12.75">
      <c r="B1290" s="185"/>
      <c r="C1290" s="186"/>
      <c r="D1290" s="187"/>
      <c r="E1290" s="187"/>
      <c r="F1290" s="187"/>
      <c r="G1290" s="187"/>
      <c r="H1290" s="187"/>
      <c r="I1290" s="187"/>
      <c r="J1290" s="187"/>
      <c r="K1290" s="187"/>
      <c r="L1290" s="187"/>
      <c r="M1290" s="187"/>
      <c r="N1290" s="187"/>
      <c r="O1290" s="187"/>
      <c r="P1290" s="187"/>
      <c r="Q1290" s="187"/>
      <c r="R1290" s="187"/>
      <c r="S1290" s="188"/>
    </row>
    <row r="1291" spans="2:19" ht="12.75">
      <c r="B1291" s="185"/>
      <c r="C1291" s="186"/>
      <c r="D1291" s="187"/>
      <c r="E1291" s="187"/>
      <c r="F1291" s="187"/>
      <c r="G1291" s="187"/>
      <c r="H1291" s="187"/>
      <c r="I1291" s="187"/>
      <c r="J1291" s="187"/>
      <c r="K1291" s="187"/>
      <c r="L1291" s="187"/>
      <c r="M1291" s="187"/>
      <c r="N1291" s="187"/>
      <c r="O1291" s="187"/>
      <c r="P1291" s="187"/>
      <c r="Q1291" s="187"/>
      <c r="R1291" s="187"/>
      <c r="S1291" s="188"/>
    </row>
    <row r="1292" spans="2:19" ht="12.75">
      <c r="B1292" s="185"/>
      <c r="C1292" s="186"/>
      <c r="D1292" s="187"/>
      <c r="E1292" s="187"/>
      <c r="F1292" s="187"/>
      <c r="G1292" s="187"/>
      <c r="H1292" s="187"/>
      <c r="I1292" s="187"/>
      <c r="J1292" s="187"/>
      <c r="K1292" s="187"/>
      <c r="L1292" s="187"/>
      <c r="M1292" s="187"/>
      <c r="N1292" s="187"/>
      <c r="O1292" s="187"/>
      <c r="P1292" s="187"/>
      <c r="Q1292" s="187"/>
      <c r="R1292" s="187"/>
      <c r="S1292" s="188"/>
    </row>
    <row r="1293" spans="2:19" ht="12.75">
      <c r="B1293" s="185"/>
      <c r="C1293" s="186"/>
      <c r="D1293" s="187"/>
      <c r="E1293" s="187"/>
      <c r="F1293" s="187"/>
      <c r="G1293" s="187"/>
      <c r="H1293" s="187"/>
      <c r="I1293" s="187"/>
      <c r="J1293" s="187"/>
      <c r="K1293" s="187"/>
      <c r="L1293" s="187"/>
      <c r="M1293" s="187"/>
      <c r="N1293" s="187"/>
      <c r="O1293" s="187"/>
      <c r="P1293" s="187"/>
      <c r="Q1293" s="187"/>
      <c r="R1293" s="187"/>
      <c r="S1293" s="188"/>
    </row>
    <row r="1294" spans="2:19" ht="12.75">
      <c r="B1294" s="185"/>
      <c r="C1294" s="186"/>
      <c r="D1294" s="187"/>
      <c r="E1294" s="187"/>
      <c r="F1294" s="187"/>
      <c r="G1294" s="187"/>
      <c r="H1294" s="187"/>
      <c r="I1294" s="187"/>
      <c r="J1294" s="187"/>
      <c r="K1294" s="187"/>
      <c r="L1294" s="187"/>
      <c r="M1294" s="187"/>
      <c r="N1294" s="187"/>
      <c r="O1294" s="187"/>
      <c r="P1294" s="187"/>
      <c r="Q1294" s="187"/>
      <c r="R1294" s="187"/>
      <c r="S1294" s="188"/>
    </row>
    <row r="1295" spans="2:19" ht="12.75">
      <c r="B1295" s="185"/>
      <c r="C1295" s="186"/>
      <c r="D1295" s="187"/>
      <c r="E1295" s="187"/>
      <c r="F1295" s="187"/>
      <c r="G1295" s="187"/>
      <c r="H1295" s="187"/>
      <c r="I1295" s="187"/>
      <c r="J1295" s="187"/>
      <c r="K1295" s="187"/>
      <c r="L1295" s="187"/>
      <c r="M1295" s="187"/>
      <c r="N1295" s="187"/>
      <c r="O1295" s="187"/>
      <c r="P1295" s="187"/>
      <c r="Q1295" s="187"/>
      <c r="R1295" s="187"/>
      <c r="S1295" s="188"/>
    </row>
    <row r="1296" spans="2:19" ht="12.75">
      <c r="B1296" s="185"/>
      <c r="C1296" s="186"/>
      <c r="D1296" s="187"/>
      <c r="E1296" s="187"/>
      <c r="F1296" s="187"/>
      <c r="G1296" s="187"/>
      <c r="H1296" s="187"/>
      <c r="I1296" s="187"/>
      <c r="J1296" s="187"/>
      <c r="K1296" s="187"/>
      <c r="L1296" s="187"/>
      <c r="M1296" s="187"/>
      <c r="N1296" s="187"/>
      <c r="O1296" s="187"/>
      <c r="P1296" s="187"/>
      <c r="Q1296" s="187"/>
      <c r="R1296" s="187"/>
      <c r="S1296" s="188"/>
    </row>
    <row r="1297" spans="2:19" ht="12.75">
      <c r="B1297" s="185"/>
      <c r="C1297" s="186"/>
      <c r="D1297" s="187"/>
      <c r="E1297" s="187"/>
      <c r="F1297" s="187"/>
      <c r="G1297" s="187"/>
      <c r="H1297" s="187"/>
      <c r="I1297" s="187"/>
      <c r="J1297" s="187"/>
      <c r="K1297" s="187"/>
      <c r="L1297" s="187"/>
      <c r="M1297" s="187"/>
      <c r="N1297" s="187"/>
      <c r="O1297" s="187"/>
      <c r="P1297" s="187"/>
      <c r="Q1297" s="187"/>
      <c r="R1297" s="187"/>
      <c r="S1297" s="188"/>
    </row>
    <row r="1298" spans="2:19" ht="12.75">
      <c r="B1298" s="185"/>
      <c r="C1298" s="186"/>
      <c r="D1298" s="187"/>
      <c r="E1298" s="187"/>
      <c r="F1298" s="187"/>
      <c r="G1298" s="187"/>
      <c r="H1298" s="187"/>
      <c r="I1298" s="187"/>
      <c r="J1298" s="187"/>
      <c r="K1298" s="187"/>
      <c r="L1298" s="187"/>
      <c r="M1298" s="187"/>
      <c r="N1298" s="187"/>
      <c r="O1298" s="187"/>
      <c r="P1298" s="187"/>
      <c r="Q1298" s="187"/>
      <c r="R1298" s="187"/>
      <c r="S1298" s="188"/>
    </row>
    <row r="1299" spans="2:19" ht="12.75">
      <c r="B1299" s="185"/>
      <c r="C1299" s="186"/>
      <c r="D1299" s="187"/>
      <c r="E1299" s="187"/>
      <c r="F1299" s="187"/>
      <c r="G1299" s="187"/>
      <c r="H1299" s="187"/>
      <c r="I1299" s="187"/>
      <c r="J1299" s="187"/>
      <c r="K1299" s="187"/>
      <c r="L1299" s="187"/>
      <c r="M1299" s="187"/>
      <c r="N1299" s="187"/>
      <c r="O1299" s="187"/>
      <c r="P1299" s="187"/>
      <c r="Q1299" s="187"/>
      <c r="R1299" s="187"/>
      <c r="S1299" s="188"/>
    </row>
    <row r="1300" spans="2:19" ht="12.75">
      <c r="B1300" s="185"/>
      <c r="C1300" s="186"/>
      <c r="D1300" s="187"/>
      <c r="E1300" s="187"/>
      <c r="F1300" s="187"/>
      <c r="G1300" s="187"/>
      <c r="H1300" s="187"/>
      <c r="I1300" s="187"/>
      <c r="J1300" s="187"/>
      <c r="K1300" s="187"/>
      <c r="L1300" s="187"/>
      <c r="M1300" s="187"/>
      <c r="N1300" s="187"/>
      <c r="O1300" s="187"/>
      <c r="P1300" s="187"/>
      <c r="Q1300" s="187"/>
      <c r="R1300" s="187"/>
      <c r="S1300" s="188"/>
    </row>
    <row r="1301" spans="2:19" ht="12.75">
      <c r="B1301" s="185"/>
      <c r="C1301" s="186"/>
      <c r="D1301" s="187"/>
      <c r="E1301" s="187"/>
      <c r="F1301" s="187"/>
      <c r="G1301" s="187"/>
      <c r="H1301" s="187"/>
      <c r="I1301" s="187"/>
      <c r="J1301" s="187"/>
      <c r="K1301" s="187"/>
      <c r="L1301" s="187"/>
      <c r="M1301" s="187"/>
      <c r="N1301" s="187"/>
      <c r="O1301" s="187"/>
      <c r="P1301" s="187"/>
      <c r="Q1301" s="187"/>
      <c r="R1301" s="187"/>
      <c r="S1301" s="188"/>
    </row>
    <row r="1302" spans="2:19" ht="12.75">
      <c r="B1302" s="185"/>
      <c r="C1302" s="186"/>
      <c r="D1302" s="187"/>
      <c r="E1302" s="187"/>
      <c r="F1302" s="187"/>
      <c r="G1302" s="187"/>
      <c r="H1302" s="187"/>
      <c r="I1302" s="187"/>
      <c r="J1302" s="187"/>
      <c r="K1302" s="187"/>
      <c r="L1302" s="187"/>
      <c r="M1302" s="187"/>
      <c r="N1302" s="187"/>
      <c r="O1302" s="187"/>
      <c r="P1302" s="187"/>
      <c r="Q1302" s="187"/>
      <c r="R1302" s="187"/>
      <c r="S1302" s="188"/>
    </row>
    <row r="1303" spans="2:19" ht="12.75">
      <c r="B1303" s="185"/>
      <c r="C1303" s="186"/>
      <c r="D1303" s="187"/>
      <c r="E1303" s="187"/>
      <c r="F1303" s="187"/>
      <c r="G1303" s="187"/>
      <c r="H1303" s="187"/>
      <c r="I1303" s="187"/>
      <c r="J1303" s="187"/>
      <c r="K1303" s="187"/>
      <c r="L1303" s="187"/>
      <c r="M1303" s="187"/>
      <c r="N1303" s="187"/>
      <c r="O1303" s="187"/>
      <c r="P1303" s="187"/>
      <c r="Q1303" s="187"/>
      <c r="R1303" s="187"/>
      <c r="S1303" s="188"/>
    </row>
    <row r="1304" spans="2:19" ht="12.75">
      <c r="B1304" s="185"/>
      <c r="C1304" s="186"/>
      <c r="D1304" s="187"/>
      <c r="E1304" s="187"/>
      <c r="F1304" s="187"/>
      <c r="G1304" s="187"/>
      <c r="H1304" s="187"/>
      <c r="I1304" s="187"/>
      <c r="J1304" s="187"/>
      <c r="K1304" s="187"/>
      <c r="L1304" s="187"/>
      <c r="M1304" s="187"/>
      <c r="N1304" s="187"/>
      <c r="O1304" s="187"/>
      <c r="P1304" s="187"/>
      <c r="Q1304" s="187"/>
      <c r="R1304" s="187"/>
      <c r="S1304" s="188"/>
    </row>
    <row r="1305" spans="2:19" ht="12.75">
      <c r="B1305" s="185"/>
      <c r="C1305" s="186"/>
      <c r="D1305" s="187"/>
      <c r="E1305" s="187"/>
      <c r="F1305" s="187"/>
      <c r="G1305" s="187"/>
      <c r="H1305" s="187"/>
      <c r="I1305" s="187"/>
      <c r="J1305" s="187"/>
      <c r="K1305" s="187"/>
      <c r="L1305" s="187"/>
      <c r="M1305" s="187"/>
      <c r="N1305" s="187"/>
      <c r="O1305" s="187"/>
      <c r="P1305" s="187"/>
      <c r="Q1305" s="187"/>
      <c r="R1305" s="187"/>
      <c r="S1305" s="188"/>
    </row>
    <row r="1306" spans="2:19" ht="12.75">
      <c r="B1306" s="185"/>
      <c r="C1306" s="186"/>
      <c r="D1306" s="187"/>
      <c r="E1306" s="187"/>
      <c r="F1306" s="187"/>
      <c r="G1306" s="187"/>
      <c r="H1306" s="187"/>
      <c r="I1306" s="187"/>
      <c r="J1306" s="187"/>
      <c r="K1306" s="187"/>
      <c r="L1306" s="187"/>
      <c r="M1306" s="187"/>
      <c r="N1306" s="187"/>
      <c r="O1306" s="187"/>
      <c r="P1306" s="187"/>
      <c r="Q1306" s="187"/>
      <c r="R1306" s="187"/>
      <c r="S1306" s="188"/>
    </row>
    <row r="1307" spans="2:19" ht="12.75">
      <c r="B1307" s="185"/>
      <c r="C1307" s="186"/>
      <c r="D1307" s="187"/>
      <c r="E1307" s="187"/>
      <c r="F1307" s="187"/>
      <c r="G1307" s="187"/>
      <c r="H1307" s="187"/>
      <c r="I1307" s="187"/>
      <c r="J1307" s="187"/>
      <c r="K1307" s="187"/>
      <c r="L1307" s="187"/>
      <c r="M1307" s="187"/>
      <c r="N1307" s="187"/>
      <c r="O1307" s="187"/>
      <c r="P1307" s="187"/>
      <c r="Q1307" s="187"/>
      <c r="R1307" s="187"/>
      <c r="S1307" s="188"/>
    </row>
    <row r="1308" spans="2:19" ht="12.75">
      <c r="B1308" s="185"/>
      <c r="C1308" s="186"/>
      <c r="D1308" s="187"/>
      <c r="E1308" s="187"/>
      <c r="F1308" s="187"/>
      <c r="G1308" s="187"/>
      <c r="H1308" s="187"/>
      <c r="I1308" s="187"/>
      <c r="J1308" s="187"/>
      <c r="K1308" s="187"/>
      <c r="L1308" s="187"/>
      <c r="M1308" s="187"/>
      <c r="N1308" s="187"/>
      <c r="O1308" s="187"/>
      <c r="P1308" s="187"/>
      <c r="Q1308" s="187"/>
      <c r="R1308" s="187"/>
      <c r="S1308" s="188"/>
    </row>
    <row r="1309" spans="2:19" ht="12.75">
      <c r="B1309" s="185"/>
      <c r="C1309" s="186"/>
      <c r="D1309" s="187"/>
      <c r="E1309" s="187"/>
      <c r="F1309" s="187"/>
      <c r="G1309" s="187"/>
      <c r="H1309" s="187"/>
      <c r="I1309" s="187"/>
      <c r="J1309" s="187"/>
      <c r="K1309" s="187"/>
      <c r="L1309" s="187"/>
      <c r="M1309" s="187"/>
      <c r="N1309" s="187"/>
      <c r="O1309" s="187"/>
      <c r="P1309" s="187"/>
      <c r="Q1309" s="187"/>
      <c r="R1309" s="187"/>
      <c r="S1309" s="188"/>
    </row>
    <row r="1310" spans="2:19" ht="12.75">
      <c r="B1310" s="185"/>
      <c r="C1310" s="186"/>
      <c r="D1310" s="187"/>
      <c r="E1310" s="187"/>
      <c r="F1310" s="187"/>
      <c r="G1310" s="187"/>
      <c r="H1310" s="187"/>
      <c r="I1310" s="187"/>
      <c r="J1310" s="187"/>
      <c r="K1310" s="187"/>
      <c r="L1310" s="187"/>
      <c r="M1310" s="187"/>
      <c r="N1310" s="187"/>
      <c r="O1310" s="187"/>
      <c r="P1310" s="187"/>
      <c r="Q1310" s="187"/>
      <c r="R1310" s="187"/>
      <c r="S1310" s="188"/>
    </row>
    <row r="1311" spans="2:19" ht="12.75">
      <c r="B1311" s="185"/>
      <c r="C1311" s="186"/>
      <c r="D1311" s="187"/>
      <c r="E1311" s="187"/>
      <c r="F1311" s="187"/>
      <c r="G1311" s="187"/>
      <c r="H1311" s="187"/>
      <c r="I1311" s="187"/>
      <c r="J1311" s="187"/>
      <c r="K1311" s="187"/>
      <c r="L1311" s="187"/>
      <c r="M1311" s="187"/>
      <c r="N1311" s="187"/>
      <c r="O1311" s="187"/>
      <c r="P1311" s="187"/>
      <c r="Q1311" s="187"/>
      <c r="R1311" s="187"/>
      <c r="S1311" s="188"/>
    </row>
    <row r="1312" spans="2:19" ht="12.75">
      <c r="B1312" s="185"/>
      <c r="C1312" s="186"/>
      <c r="D1312" s="187"/>
      <c r="E1312" s="187"/>
      <c r="F1312" s="187"/>
      <c r="G1312" s="187"/>
      <c r="H1312" s="187"/>
      <c r="I1312" s="187"/>
      <c r="J1312" s="187"/>
      <c r="K1312" s="187"/>
      <c r="L1312" s="187"/>
      <c r="M1312" s="187"/>
      <c r="N1312" s="187"/>
      <c r="O1312" s="187"/>
      <c r="P1312" s="187"/>
      <c r="Q1312" s="187"/>
      <c r="R1312" s="187"/>
      <c r="S1312" s="188"/>
    </row>
    <row r="1313" spans="2:19" ht="12.75">
      <c r="B1313" s="185"/>
      <c r="C1313" s="186"/>
      <c r="D1313" s="187"/>
      <c r="E1313" s="187"/>
      <c r="F1313" s="187"/>
      <c r="G1313" s="187"/>
      <c r="H1313" s="187"/>
      <c r="I1313" s="187"/>
      <c r="J1313" s="187"/>
      <c r="K1313" s="187"/>
      <c r="L1313" s="187"/>
      <c r="M1313" s="187"/>
      <c r="N1313" s="187"/>
      <c r="O1313" s="187"/>
      <c r="P1313" s="187"/>
      <c r="Q1313" s="187"/>
      <c r="R1313" s="187"/>
      <c r="S1313" s="188"/>
    </row>
    <row r="1314" spans="2:19" ht="12.75">
      <c r="B1314" s="185"/>
      <c r="C1314" s="186"/>
      <c r="D1314" s="187"/>
      <c r="E1314" s="187"/>
      <c r="F1314" s="187"/>
      <c r="G1314" s="187"/>
      <c r="H1314" s="187"/>
      <c r="I1314" s="187"/>
      <c r="J1314" s="187"/>
      <c r="K1314" s="187"/>
      <c r="L1314" s="187"/>
      <c r="M1314" s="187"/>
      <c r="N1314" s="187"/>
      <c r="O1314" s="187"/>
      <c r="P1314" s="187"/>
      <c r="Q1314" s="187"/>
      <c r="R1314" s="187"/>
      <c r="S1314" s="188"/>
    </row>
    <row r="1315" spans="2:19" ht="12.75">
      <c r="B1315" s="185"/>
      <c r="C1315" s="186"/>
      <c r="D1315" s="187"/>
      <c r="E1315" s="187"/>
      <c r="F1315" s="187"/>
      <c r="G1315" s="187"/>
      <c r="H1315" s="187"/>
      <c r="I1315" s="187"/>
      <c r="J1315" s="187"/>
      <c r="K1315" s="187"/>
      <c r="L1315" s="187"/>
      <c r="M1315" s="187"/>
      <c r="N1315" s="187"/>
      <c r="O1315" s="187"/>
      <c r="P1315" s="187"/>
      <c r="Q1315" s="187"/>
      <c r="R1315" s="187"/>
      <c r="S1315" s="188"/>
    </row>
    <row r="1316" spans="2:19" ht="12.75">
      <c r="B1316" s="185"/>
      <c r="C1316" s="186"/>
      <c r="D1316" s="187"/>
      <c r="E1316" s="187"/>
      <c r="F1316" s="187"/>
      <c r="G1316" s="187"/>
      <c r="H1316" s="187"/>
      <c r="I1316" s="187"/>
      <c r="J1316" s="187"/>
      <c r="K1316" s="187"/>
      <c r="L1316" s="187"/>
      <c r="M1316" s="187"/>
      <c r="N1316" s="187"/>
      <c r="O1316" s="187"/>
      <c r="P1316" s="187"/>
      <c r="Q1316" s="187"/>
      <c r="R1316" s="187"/>
      <c r="S1316" s="188"/>
    </row>
    <row r="1317" spans="2:19" ht="12.75">
      <c r="B1317" s="185"/>
      <c r="C1317" s="186"/>
      <c r="D1317" s="187"/>
      <c r="E1317" s="187"/>
      <c r="F1317" s="187"/>
      <c r="G1317" s="187"/>
      <c r="H1317" s="187"/>
      <c r="I1317" s="187"/>
      <c r="J1317" s="187"/>
      <c r="K1317" s="187"/>
      <c r="L1317" s="187"/>
      <c r="M1317" s="187"/>
      <c r="N1317" s="187"/>
      <c r="O1317" s="187"/>
      <c r="P1317" s="187"/>
      <c r="Q1317" s="187"/>
      <c r="R1317" s="187"/>
      <c r="S1317" s="188"/>
    </row>
    <row r="1318" spans="2:19" ht="12.75">
      <c r="B1318" s="185"/>
      <c r="C1318" s="186"/>
      <c r="D1318" s="187"/>
      <c r="E1318" s="187"/>
      <c r="F1318" s="187"/>
      <c r="G1318" s="187"/>
      <c r="H1318" s="187"/>
      <c r="I1318" s="187"/>
      <c r="J1318" s="187"/>
      <c r="K1318" s="187"/>
      <c r="L1318" s="187"/>
      <c r="M1318" s="187"/>
      <c r="N1318" s="187"/>
      <c r="O1318" s="187"/>
      <c r="P1318" s="187"/>
      <c r="Q1318" s="187"/>
      <c r="R1318" s="187"/>
      <c r="S1318" s="188"/>
    </row>
    <row r="1319" spans="2:19" ht="12.75">
      <c r="B1319" s="185"/>
      <c r="C1319" s="186"/>
      <c r="D1319" s="187"/>
      <c r="E1319" s="187"/>
      <c r="F1319" s="187"/>
      <c r="G1319" s="187"/>
      <c r="H1319" s="187"/>
      <c r="I1319" s="187"/>
      <c r="J1319" s="187"/>
      <c r="K1319" s="187"/>
      <c r="L1319" s="187"/>
      <c r="M1319" s="187"/>
      <c r="N1319" s="187"/>
      <c r="O1319" s="187"/>
      <c r="P1319" s="187"/>
      <c r="Q1319" s="187"/>
      <c r="R1319" s="187"/>
      <c r="S1319" s="188"/>
    </row>
    <row r="1320" spans="2:19" ht="12.75">
      <c r="B1320" s="185"/>
      <c r="C1320" s="186"/>
      <c r="D1320" s="187"/>
      <c r="E1320" s="187"/>
      <c r="F1320" s="187"/>
      <c r="G1320" s="187"/>
      <c r="H1320" s="187"/>
      <c r="I1320" s="187"/>
      <c r="J1320" s="187"/>
      <c r="K1320" s="187"/>
      <c r="L1320" s="187"/>
      <c r="M1320" s="187"/>
      <c r="N1320" s="187"/>
      <c r="O1320" s="187"/>
      <c r="P1320" s="187"/>
      <c r="Q1320" s="187"/>
      <c r="R1320" s="187"/>
      <c r="S1320" s="188"/>
    </row>
    <row r="1321" spans="2:19" ht="12.75">
      <c r="B1321" s="185"/>
      <c r="C1321" s="186"/>
      <c r="D1321" s="187"/>
      <c r="E1321" s="187"/>
      <c r="F1321" s="187"/>
      <c r="G1321" s="187"/>
      <c r="H1321" s="187"/>
      <c r="I1321" s="187"/>
      <c r="J1321" s="187"/>
      <c r="K1321" s="187"/>
      <c r="L1321" s="187"/>
      <c r="M1321" s="187"/>
      <c r="N1321" s="187"/>
      <c r="O1321" s="187"/>
      <c r="P1321" s="187"/>
      <c r="Q1321" s="187"/>
      <c r="R1321" s="187"/>
      <c r="S1321" s="188"/>
    </row>
    <row r="1322" spans="2:19" ht="12.75">
      <c r="B1322" s="185"/>
      <c r="C1322" s="186"/>
      <c r="D1322" s="187"/>
      <c r="E1322" s="187"/>
      <c r="F1322" s="187"/>
      <c r="G1322" s="187"/>
      <c r="H1322" s="187"/>
      <c r="I1322" s="187"/>
      <c r="J1322" s="187"/>
      <c r="K1322" s="187"/>
      <c r="L1322" s="187"/>
      <c r="M1322" s="187"/>
      <c r="N1322" s="187"/>
      <c r="O1322" s="187"/>
      <c r="P1322" s="187"/>
      <c r="Q1322" s="187"/>
      <c r="R1322" s="187"/>
      <c r="S1322" s="188"/>
    </row>
    <row r="1323" spans="2:19" ht="12.75">
      <c r="B1323" s="185"/>
      <c r="C1323" s="186"/>
      <c r="D1323" s="187"/>
      <c r="E1323" s="187"/>
      <c r="F1323" s="187"/>
      <c r="G1323" s="187"/>
      <c r="H1323" s="187"/>
      <c r="I1323" s="187"/>
      <c r="J1323" s="187"/>
      <c r="K1323" s="187"/>
      <c r="L1323" s="187"/>
      <c r="M1323" s="187"/>
      <c r="N1323" s="187"/>
      <c r="O1323" s="187"/>
      <c r="P1323" s="187"/>
      <c r="Q1323" s="187"/>
      <c r="R1323" s="187"/>
      <c r="S1323" s="188"/>
    </row>
    <row r="1324" spans="2:19" ht="12.75">
      <c r="B1324" s="185"/>
      <c r="C1324" s="186"/>
      <c r="D1324" s="187"/>
      <c r="E1324" s="187"/>
      <c r="F1324" s="187"/>
      <c r="G1324" s="187"/>
      <c r="H1324" s="187"/>
      <c r="I1324" s="187"/>
      <c r="J1324" s="187"/>
      <c r="K1324" s="187"/>
      <c r="L1324" s="187"/>
      <c r="M1324" s="187"/>
      <c r="N1324" s="187"/>
      <c r="O1324" s="187"/>
      <c r="P1324" s="187"/>
      <c r="Q1324" s="187"/>
      <c r="R1324" s="187"/>
      <c r="S1324" s="188"/>
    </row>
    <row r="1325" spans="2:19" ht="12.75">
      <c r="B1325" s="185"/>
      <c r="C1325" s="186"/>
      <c r="D1325" s="187"/>
      <c r="E1325" s="187"/>
      <c r="F1325" s="187"/>
      <c r="G1325" s="187"/>
      <c r="H1325" s="187"/>
      <c r="I1325" s="187"/>
      <c r="J1325" s="187"/>
      <c r="K1325" s="187"/>
      <c r="L1325" s="187"/>
      <c r="M1325" s="187"/>
      <c r="N1325" s="187"/>
      <c r="O1325" s="187"/>
      <c r="P1325" s="187"/>
      <c r="Q1325" s="187"/>
      <c r="R1325" s="187"/>
      <c r="S1325" s="188"/>
    </row>
    <row r="1326" spans="2:19" ht="12.75">
      <c r="B1326" s="185"/>
      <c r="C1326" s="186"/>
      <c r="D1326" s="187"/>
      <c r="E1326" s="187"/>
      <c r="F1326" s="187"/>
      <c r="G1326" s="187"/>
      <c r="H1326" s="187"/>
      <c r="I1326" s="187"/>
      <c r="J1326" s="187"/>
      <c r="K1326" s="187"/>
      <c r="L1326" s="187"/>
      <c r="M1326" s="187"/>
      <c r="N1326" s="187"/>
      <c r="O1326" s="187"/>
      <c r="P1326" s="187"/>
      <c r="Q1326" s="187"/>
      <c r="R1326" s="187"/>
      <c r="S1326" s="188"/>
    </row>
    <row r="1327" spans="2:19" ht="12.75">
      <c r="B1327" s="185"/>
      <c r="C1327" s="186"/>
      <c r="D1327" s="187"/>
      <c r="E1327" s="187"/>
      <c r="F1327" s="187"/>
      <c r="G1327" s="187"/>
      <c r="H1327" s="187"/>
      <c r="I1327" s="187"/>
      <c r="J1327" s="187"/>
      <c r="K1327" s="187"/>
      <c r="L1327" s="187"/>
      <c r="M1327" s="187"/>
      <c r="N1327" s="187"/>
      <c r="O1327" s="187"/>
      <c r="P1327" s="187"/>
      <c r="Q1327" s="187"/>
      <c r="R1327" s="187"/>
      <c r="S1327" s="188"/>
    </row>
    <row r="1328" spans="2:19" ht="12.75">
      <c r="B1328" s="185"/>
      <c r="C1328" s="186"/>
      <c r="D1328" s="187"/>
      <c r="E1328" s="187"/>
      <c r="F1328" s="187"/>
      <c r="G1328" s="187"/>
      <c r="H1328" s="187"/>
      <c r="I1328" s="187"/>
      <c r="J1328" s="187"/>
      <c r="K1328" s="187"/>
      <c r="L1328" s="187"/>
      <c r="M1328" s="187"/>
      <c r="N1328" s="187"/>
      <c r="O1328" s="187"/>
      <c r="P1328" s="187"/>
      <c r="Q1328" s="187"/>
      <c r="R1328" s="187"/>
      <c r="S1328" s="188"/>
    </row>
    <row r="1329" spans="2:19" ht="12.75">
      <c r="B1329" s="185"/>
      <c r="C1329" s="186"/>
      <c r="D1329" s="187"/>
      <c r="E1329" s="187"/>
      <c r="F1329" s="187"/>
      <c r="G1329" s="187"/>
      <c r="H1329" s="187"/>
      <c r="I1329" s="187"/>
      <c r="J1329" s="187"/>
      <c r="K1329" s="187"/>
      <c r="L1329" s="187"/>
      <c r="M1329" s="187"/>
      <c r="N1329" s="187"/>
      <c r="O1329" s="187"/>
      <c r="P1329" s="187"/>
      <c r="Q1329" s="187"/>
      <c r="R1329" s="187"/>
      <c r="S1329" s="188"/>
    </row>
    <row r="1330" spans="2:19" ht="12.75">
      <c r="B1330" s="185"/>
      <c r="C1330" s="186"/>
      <c r="D1330" s="187"/>
      <c r="E1330" s="187"/>
      <c r="F1330" s="187"/>
      <c r="G1330" s="187"/>
      <c r="H1330" s="187"/>
      <c r="I1330" s="187"/>
      <c r="J1330" s="187"/>
      <c r="K1330" s="187"/>
      <c r="L1330" s="187"/>
      <c r="M1330" s="187"/>
      <c r="N1330" s="187"/>
      <c r="O1330" s="187"/>
      <c r="P1330" s="187"/>
      <c r="Q1330" s="187"/>
      <c r="R1330" s="187"/>
      <c r="S1330" s="188"/>
    </row>
    <row r="1331" spans="2:19" ht="12.75">
      <c r="B1331" s="185"/>
      <c r="C1331" s="186"/>
      <c r="D1331" s="187"/>
      <c r="E1331" s="187"/>
      <c r="F1331" s="187"/>
      <c r="G1331" s="187"/>
      <c r="H1331" s="187"/>
      <c r="I1331" s="187"/>
      <c r="J1331" s="187"/>
      <c r="K1331" s="187"/>
      <c r="L1331" s="187"/>
      <c r="M1331" s="187"/>
      <c r="N1331" s="187"/>
      <c r="O1331" s="187"/>
      <c r="P1331" s="187"/>
      <c r="Q1331" s="187"/>
      <c r="R1331" s="187"/>
      <c r="S1331" s="188"/>
    </row>
    <row r="1332" spans="2:19" ht="12.75">
      <c r="B1332" s="185"/>
      <c r="C1332" s="186"/>
      <c r="D1332" s="187"/>
      <c r="E1332" s="187"/>
      <c r="F1332" s="187"/>
      <c r="G1332" s="187"/>
      <c r="H1332" s="187"/>
      <c r="I1332" s="187"/>
      <c r="J1332" s="187"/>
      <c r="K1332" s="187"/>
      <c r="L1332" s="187"/>
      <c r="M1332" s="187"/>
      <c r="N1332" s="187"/>
      <c r="O1332" s="187"/>
      <c r="P1332" s="187"/>
      <c r="Q1332" s="187"/>
      <c r="R1332" s="187"/>
      <c r="S1332" s="188"/>
    </row>
    <row r="1333" spans="2:19" ht="12.75">
      <c r="B1333" s="185"/>
      <c r="C1333" s="186"/>
      <c r="D1333" s="187"/>
      <c r="E1333" s="187"/>
      <c r="F1333" s="187"/>
      <c r="G1333" s="187"/>
      <c r="H1333" s="187"/>
      <c r="I1333" s="187"/>
      <c r="J1333" s="187"/>
      <c r="K1333" s="187"/>
      <c r="L1333" s="187"/>
      <c r="M1333" s="187"/>
      <c r="N1333" s="187"/>
      <c r="O1333" s="187"/>
      <c r="P1333" s="187"/>
      <c r="Q1333" s="187"/>
      <c r="R1333" s="187"/>
      <c r="S1333" s="188"/>
    </row>
    <row r="1334" spans="2:19" ht="12.75">
      <c r="B1334" s="185"/>
      <c r="C1334" s="186"/>
      <c r="D1334" s="187"/>
      <c r="E1334" s="187"/>
      <c r="F1334" s="187"/>
      <c r="G1334" s="187"/>
      <c r="H1334" s="187"/>
      <c r="I1334" s="187"/>
      <c r="J1334" s="187"/>
      <c r="K1334" s="187"/>
      <c r="L1334" s="187"/>
      <c r="M1334" s="187"/>
      <c r="N1334" s="187"/>
      <c r="O1334" s="187"/>
      <c r="P1334" s="187"/>
      <c r="Q1334" s="187"/>
      <c r="R1334" s="187"/>
      <c r="S1334" s="188"/>
    </row>
    <row r="1335" spans="2:19" ht="12.75">
      <c r="B1335" s="185"/>
      <c r="C1335" s="186"/>
      <c r="D1335" s="187"/>
      <c r="E1335" s="187"/>
      <c r="F1335" s="187"/>
      <c r="G1335" s="187"/>
      <c r="H1335" s="187"/>
      <c r="I1335" s="187"/>
      <c r="J1335" s="187"/>
      <c r="K1335" s="187"/>
      <c r="L1335" s="187"/>
      <c r="M1335" s="187"/>
      <c r="N1335" s="187"/>
      <c r="O1335" s="187"/>
      <c r="P1335" s="187"/>
      <c r="Q1335" s="187"/>
      <c r="R1335" s="187"/>
      <c r="S1335" s="188"/>
    </row>
    <row r="1336" spans="2:19" ht="12.75">
      <c r="B1336" s="185"/>
      <c r="C1336" s="186"/>
      <c r="D1336" s="187"/>
      <c r="E1336" s="187"/>
      <c r="F1336" s="187"/>
      <c r="G1336" s="187"/>
      <c r="H1336" s="187"/>
      <c r="I1336" s="187"/>
      <c r="J1336" s="187"/>
      <c r="K1336" s="187"/>
      <c r="L1336" s="187"/>
      <c r="M1336" s="187"/>
      <c r="N1336" s="187"/>
      <c r="O1336" s="187"/>
      <c r="P1336" s="187"/>
      <c r="Q1336" s="187"/>
      <c r="R1336" s="187"/>
      <c r="S1336" s="188"/>
    </row>
    <row r="1337" spans="2:19" ht="12.75">
      <c r="B1337" s="185"/>
      <c r="C1337" s="186"/>
      <c r="D1337" s="187"/>
      <c r="E1337" s="187"/>
      <c r="F1337" s="187"/>
      <c r="G1337" s="187"/>
      <c r="H1337" s="187"/>
      <c r="I1337" s="187"/>
      <c r="J1337" s="187"/>
      <c r="K1337" s="187"/>
      <c r="L1337" s="187"/>
      <c r="M1337" s="187"/>
      <c r="N1337" s="187"/>
      <c r="O1337" s="187"/>
      <c r="P1337" s="187"/>
      <c r="Q1337" s="187"/>
      <c r="R1337" s="187"/>
      <c r="S1337" s="188"/>
    </row>
    <row r="1338" spans="2:19" ht="12.75">
      <c r="B1338" s="185"/>
      <c r="C1338" s="186"/>
      <c r="D1338" s="187"/>
      <c r="E1338" s="187"/>
      <c r="F1338" s="187"/>
      <c r="G1338" s="187"/>
      <c r="H1338" s="187"/>
      <c r="I1338" s="187"/>
      <c r="J1338" s="187"/>
      <c r="K1338" s="187"/>
      <c r="L1338" s="187"/>
      <c r="M1338" s="187"/>
      <c r="N1338" s="187"/>
      <c r="O1338" s="187"/>
      <c r="P1338" s="187"/>
      <c r="Q1338" s="187"/>
      <c r="R1338" s="187"/>
      <c r="S1338" s="188"/>
    </row>
    <row r="1339" spans="2:19" ht="12.75">
      <c r="B1339" s="185"/>
      <c r="C1339" s="186"/>
      <c r="D1339" s="187"/>
      <c r="E1339" s="187"/>
      <c r="F1339" s="187"/>
      <c r="G1339" s="187"/>
      <c r="H1339" s="187"/>
      <c r="I1339" s="187"/>
      <c r="J1339" s="187"/>
      <c r="K1339" s="187"/>
      <c r="L1339" s="187"/>
      <c r="M1339" s="187"/>
      <c r="N1339" s="187"/>
      <c r="O1339" s="187"/>
      <c r="P1339" s="187"/>
      <c r="Q1339" s="187"/>
      <c r="R1339" s="187"/>
      <c r="S1339" s="188"/>
    </row>
    <row r="1340" spans="2:19" ht="12.75">
      <c r="B1340" s="185"/>
      <c r="C1340" s="186"/>
      <c r="D1340" s="187"/>
      <c r="E1340" s="187"/>
      <c r="F1340" s="187"/>
      <c r="G1340" s="187"/>
      <c r="H1340" s="187"/>
      <c r="I1340" s="187"/>
      <c r="J1340" s="187"/>
      <c r="K1340" s="187"/>
      <c r="L1340" s="187"/>
      <c r="M1340" s="187"/>
      <c r="N1340" s="187"/>
      <c r="O1340" s="187"/>
      <c r="P1340" s="187"/>
      <c r="Q1340" s="187"/>
      <c r="R1340" s="187"/>
      <c r="S1340" s="188"/>
    </row>
    <row r="1341" spans="2:19" ht="12.75">
      <c r="B1341" s="185"/>
      <c r="C1341" s="186"/>
      <c r="D1341" s="187"/>
      <c r="E1341" s="187"/>
      <c r="F1341" s="187"/>
      <c r="G1341" s="187"/>
      <c r="H1341" s="187"/>
      <c r="I1341" s="187"/>
      <c r="J1341" s="187"/>
      <c r="K1341" s="187"/>
      <c r="L1341" s="187"/>
      <c r="M1341" s="187"/>
      <c r="N1341" s="187"/>
      <c r="O1341" s="187"/>
      <c r="P1341" s="187"/>
      <c r="Q1341" s="187"/>
      <c r="R1341" s="187"/>
      <c r="S1341" s="188"/>
    </row>
    <row r="1342" spans="2:19" ht="12.75">
      <c r="B1342" s="185"/>
      <c r="C1342" s="186"/>
      <c r="D1342" s="187"/>
      <c r="E1342" s="187"/>
      <c r="F1342" s="187"/>
      <c r="G1342" s="187"/>
      <c r="H1342" s="187"/>
      <c r="I1342" s="187"/>
      <c r="J1342" s="187"/>
      <c r="K1342" s="187"/>
      <c r="L1342" s="187"/>
      <c r="M1342" s="187"/>
      <c r="N1342" s="187"/>
      <c r="O1342" s="187"/>
      <c r="P1342" s="187"/>
      <c r="Q1342" s="187"/>
      <c r="R1342" s="187"/>
      <c r="S1342" s="188"/>
    </row>
    <row r="1343" spans="2:19" ht="12.75">
      <c r="B1343" s="185"/>
      <c r="C1343" s="186"/>
      <c r="D1343" s="187"/>
      <c r="E1343" s="187"/>
      <c r="F1343" s="187"/>
      <c r="G1343" s="187"/>
      <c r="H1343" s="187"/>
      <c r="I1343" s="187"/>
      <c r="J1343" s="187"/>
      <c r="K1343" s="187"/>
      <c r="L1343" s="187"/>
      <c r="M1343" s="187"/>
      <c r="N1343" s="187"/>
      <c r="O1343" s="187"/>
      <c r="P1343" s="187"/>
      <c r="Q1343" s="187"/>
      <c r="R1343" s="187"/>
      <c r="S1343" s="188"/>
    </row>
    <row r="1344" spans="2:19" ht="12.75">
      <c r="B1344" s="185"/>
      <c r="C1344" s="186"/>
      <c r="D1344" s="187"/>
      <c r="E1344" s="187"/>
      <c r="F1344" s="187"/>
      <c r="G1344" s="187"/>
      <c r="H1344" s="187"/>
      <c r="I1344" s="187"/>
      <c r="J1344" s="187"/>
      <c r="K1344" s="187"/>
      <c r="L1344" s="187"/>
      <c r="M1344" s="187"/>
      <c r="N1344" s="187"/>
      <c r="O1344" s="187"/>
      <c r="P1344" s="187"/>
      <c r="Q1344" s="187"/>
      <c r="R1344" s="187"/>
      <c r="S1344" s="188"/>
    </row>
    <row r="1345" spans="2:19" ht="12.75">
      <c r="B1345" s="185"/>
      <c r="C1345" s="186"/>
      <c r="D1345" s="187"/>
      <c r="E1345" s="187"/>
      <c r="F1345" s="187"/>
      <c r="G1345" s="187"/>
      <c r="H1345" s="187"/>
      <c r="I1345" s="187"/>
      <c r="J1345" s="187"/>
      <c r="K1345" s="187"/>
      <c r="L1345" s="187"/>
      <c r="M1345" s="187"/>
      <c r="N1345" s="187"/>
      <c r="O1345" s="187"/>
      <c r="P1345" s="187"/>
      <c r="Q1345" s="187"/>
      <c r="R1345" s="187"/>
      <c r="S1345" s="188"/>
    </row>
    <row r="1346" spans="2:19" ht="12.75">
      <c r="B1346" s="185"/>
      <c r="C1346" s="186"/>
      <c r="D1346" s="187"/>
      <c r="E1346" s="187"/>
      <c r="F1346" s="187"/>
      <c r="G1346" s="187"/>
      <c r="H1346" s="187"/>
      <c r="I1346" s="187"/>
      <c r="J1346" s="187"/>
      <c r="K1346" s="187"/>
      <c r="L1346" s="187"/>
      <c r="M1346" s="187"/>
      <c r="N1346" s="187"/>
      <c r="O1346" s="187"/>
      <c r="P1346" s="187"/>
      <c r="Q1346" s="187"/>
      <c r="R1346" s="187"/>
      <c r="S1346" s="188"/>
    </row>
    <row r="1347" spans="2:19" ht="12.75">
      <c r="B1347" s="185"/>
      <c r="C1347" s="186"/>
      <c r="D1347" s="187"/>
      <c r="E1347" s="187"/>
      <c r="F1347" s="187"/>
      <c r="G1347" s="187"/>
      <c r="H1347" s="187"/>
      <c r="I1347" s="187"/>
      <c r="J1347" s="187"/>
      <c r="K1347" s="187"/>
      <c r="L1347" s="187"/>
      <c r="M1347" s="187"/>
      <c r="N1347" s="187"/>
      <c r="O1347" s="187"/>
      <c r="P1347" s="187"/>
      <c r="Q1347" s="187"/>
      <c r="R1347" s="187"/>
      <c r="S1347" s="188"/>
    </row>
    <row r="1348" spans="2:19" ht="12.75">
      <c r="B1348" s="185"/>
      <c r="C1348" s="186"/>
      <c r="D1348" s="187"/>
      <c r="E1348" s="187"/>
      <c r="F1348" s="187"/>
      <c r="G1348" s="187"/>
      <c r="H1348" s="187"/>
      <c r="I1348" s="187"/>
      <c r="J1348" s="187"/>
      <c r="K1348" s="187"/>
      <c r="L1348" s="187"/>
      <c r="M1348" s="187"/>
      <c r="N1348" s="187"/>
      <c r="O1348" s="187"/>
      <c r="P1348" s="187"/>
      <c r="Q1348" s="187"/>
      <c r="R1348" s="187"/>
      <c r="S1348" s="188"/>
    </row>
    <row r="1349" spans="2:19" ht="12.75">
      <c r="B1349" s="185"/>
      <c r="C1349" s="186"/>
      <c r="D1349" s="187"/>
      <c r="E1349" s="187"/>
      <c r="F1349" s="187"/>
      <c r="G1349" s="187"/>
      <c r="H1349" s="187"/>
      <c r="I1349" s="187"/>
      <c r="J1349" s="187"/>
      <c r="K1349" s="187"/>
      <c r="L1349" s="187"/>
      <c r="M1349" s="187"/>
      <c r="N1349" s="187"/>
      <c r="O1349" s="187"/>
      <c r="P1349" s="187"/>
      <c r="Q1349" s="187"/>
      <c r="R1349" s="187"/>
      <c r="S1349" s="188"/>
    </row>
    <row r="1350" spans="2:19" ht="12.75">
      <c r="B1350" s="185"/>
      <c r="C1350" s="186"/>
      <c r="D1350" s="187"/>
      <c r="E1350" s="187"/>
      <c r="F1350" s="187"/>
      <c r="G1350" s="187"/>
      <c r="H1350" s="187"/>
      <c r="I1350" s="187"/>
      <c r="J1350" s="187"/>
      <c r="K1350" s="187"/>
      <c r="L1350" s="187"/>
      <c r="M1350" s="187"/>
      <c r="N1350" s="187"/>
      <c r="O1350" s="187"/>
      <c r="P1350" s="187"/>
      <c r="Q1350" s="187"/>
      <c r="R1350" s="187"/>
      <c r="S1350" s="188"/>
    </row>
    <row r="1351" spans="2:19" ht="12.75">
      <c r="B1351" s="185"/>
      <c r="C1351" s="186"/>
      <c r="D1351" s="187"/>
      <c r="E1351" s="187"/>
      <c r="F1351" s="187"/>
      <c r="G1351" s="187"/>
      <c r="H1351" s="187"/>
      <c r="I1351" s="187"/>
      <c r="J1351" s="187"/>
      <c r="K1351" s="187"/>
      <c r="L1351" s="187"/>
      <c r="M1351" s="187"/>
      <c r="N1351" s="187"/>
      <c r="O1351" s="187"/>
      <c r="P1351" s="187"/>
      <c r="Q1351" s="187"/>
      <c r="R1351" s="187"/>
      <c r="S1351" s="188"/>
    </row>
    <row r="1352" spans="2:19" ht="12.75">
      <c r="B1352" s="185"/>
      <c r="C1352" s="186"/>
      <c r="D1352" s="187"/>
      <c r="E1352" s="187"/>
      <c r="F1352" s="187"/>
      <c r="G1352" s="187"/>
      <c r="H1352" s="187"/>
      <c r="I1352" s="187"/>
      <c r="J1352" s="187"/>
      <c r="K1352" s="187"/>
      <c r="L1352" s="187"/>
      <c r="M1352" s="187"/>
      <c r="N1352" s="187"/>
      <c r="O1352" s="187"/>
      <c r="P1352" s="187"/>
      <c r="Q1352" s="187"/>
      <c r="R1352" s="187"/>
      <c r="S1352" s="188"/>
    </row>
    <row r="1353" spans="2:19" ht="12.75">
      <c r="B1353" s="185"/>
      <c r="C1353" s="186"/>
      <c r="D1353" s="187"/>
      <c r="E1353" s="187"/>
      <c r="F1353" s="187"/>
      <c r="G1353" s="187"/>
      <c r="H1353" s="187"/>
      <c r="I1353" s="187"/>
      <c r="J1353" s="187"/>
      <c r="K1353" s="187"/>
      <c r="L1353" s="187"/>
      <c r="M1353" s="187"/>
      <c r="N1353" s="187"/>
      <c r="O1353" s="187"/>
      <c r="P1353" s="187"/>
      <c r="Q1353" s="187"/>
      <c r="R1353" s="187"/>
      <c r="S1353" s="188"/>
    </row>
    <row r="1354" spans="2:19" ht="12.75">
      <c r="B1354" s="185"/>
      <c r="C1354" s="186"/>
      <c r="D1354" s="187"/>
      <c r="E1354" s="187"/>
      <c r="F1354" s="187"/>
      <c r="G1354" s="187"/>
      <c r="H1354" s="187"/>
      <c r="I1354" s="187"/>
      <c r="J1354" s="187"/>
      <c r="K1354" s="187"/>
      <c r="L1354" s="187"/>
      <c r="M1354" s="187"/>
      <c r="N1354" s="187"/>
      <c r="O1354" s="187"/>
      <c r="P1354" s="187"/>
      <c r="Q1354" s="187"/>
      <c r="R1354" s="187"/>
      <c r="S1354" s="188"/>
    </row>
    <row r="1355" spans="2:19" ht="12.75">
      <c r="B1355" s="185"/>
      <c r="C1355" s="186"/>
      <c r="D1355" s="187"/>
      <c r="E1355" s="187"/>
      <c r="F1355" s="187"/>
      <c r="G1355" s="187"/>
      <c r="H1355" s="187"/>
      <c r="I1355" s="187"/>
      <c r="J1355" s="187"/>
      <c r="K1355" s="187"/>
      <c r="L1355" s="187"/>
      <c r="M1355" s="187"/>
      <c r="N1355" s="187"/>
      <c r="O1355" s="187"/>
      <c r="P1355" s="187"/>
      <c r="Q1355" s="187"/>
      <c r="R1355" s="187"/>
      <c r="S1355" s="188"/>
    </row>
    <row r="1356" spans="2:19" ht="12.75">
      <c r="B1356" s="185"/>
      <c r="C1356" s="186"/>
      <c r="D1356" s="187"/>
      <c r="E1356" s="187"/>
      <c r="F1356" s="187"/>
      <c r="G1356" s="187"/>
      <c r="H1356" s="187"/>
      <c r="I1356" s="187"/>
      <c r="J1356" s="187"/>
      <c r="K1356" s="187"/>
      <c r="L1356" s="187"/>
      <c r="M1356" s="187"/>
      <c r="N1356" s="187"/>
      <c r="O1356" s="187"/>
      <c r="P1356" s="187"/>
      <c r="Q1356" s="187"/>
      <c r="R1356" s="187"/>
      <c r="S1356" s="188"/>
    </row>
    <row r="1357" spans="2:19" ht="12.75">
      <c r="B1357" s="185"/>
      <c r="C1357" s="186"/>
      <c r="D1357" s="187"/>
      <c r="E1357" s="187"/>
      <c r="F1357" s="187"/>
      <c r="G1357" s="187"/>
      <c r="H1357" s="187"/>
      <c r="I1357" s="187"/>
      <c r="J1357" s="187"/>
      <c r="K1357" s="187"/>
      <c r="L1357" s="187"/>
      <c r="M1357" s="187"/>
      <c r="N1357" s="187"/>
      <c r="O1357" s="187"/>
      <c r="P1357" s="187"/>
      <c r="Q1357" s="187"/>
      <c r="R1357" s="187"/>
      <c r="S1357" s="188"/>
    </row>
    <row r="1358" spans="2:19" ht="12.75">
      <c r="B1358" s="185"/>
      <c r="C1358" s="186"/>
      <c r="D1358" s="187"/>
      <c r="E1358" s="187"/>
      <c r="F1358" s="187"/>
      <c r="G1358" s="187"/>
      <c r="H1358" s="187"/>
      <c r="I1358" s="187"/>
      <c r="J1358" s="187"/>
      <c r="K1358" s="187"/>
      <c r="L1358" s="187"/>
      <c r="M1358" s="187"/>
      <c r="N1358" s="187"/>
      <c r="O1358" s="187"/>
      <c r="P1358" s="187"/>
      <c r="Q1358" s="187"/>
      <c r="R1358" s="187"/>
      <c r="S1358" s="188"/>
    </row>
    <row r="1359" spans="2:19" ht="12.75">
      <c r="B1359" s="185"/>
      <c r="C1359" s="186"/>
      <c r="D1359" s="187"/>
      <c r="E1359" s="187"/>
      <c r="F1359" s="187"/>
      <c r="G1359" s="187"/>
      <c r="H1359" s="187"/>
      <c r="I1359" s="187"/>
      <c r="J1359" s="187"/>
      <c r="K1359" s="187"/>
      <c r="L1359" s="187"/>
      <c r="M1359" s="187"/>
      <c r="N1359" s="187"/>
      <c r="O1359" s="187"/>
      <c r="P1359" s="187"/>
      <c r="Q1359" s="187"/>
      <c r="R1359" s="187"/>
      <c r="S1359" s="188"/>
    </row>
    <row r="1360" spans="2:19" ht="12.75">
      <c r="B1360" s="185"/>
      <c r="C1360" s="186"/>
      <c r="D1360" s="187"/>
      <c r="E1360" s="187"/>
      <c r="F1360" s="187"/>
      <c r="G1360" s="187"/>
      <c r="H1360" s="187"/>
      <c r="I1360" s="187"/>
      <c r="J1360" s="187"/>
      <c r="K1360" s="187"/>
      <c r="L1360" s="187"/>
      <c r="M1360" s="187"/>
      <c r="N1360" s="187"/>
      <c r="O1360" s="187"/>
      <c r="P1360" s="187"/>
      <c r="Q1360" s="187"/>
      <c r="R1360" s="187"/>
      <c r="S1360" s="188"/>
    </row>
    <row r="1361" spans="2:19" ht="12.75">
      <c r="B1361" s="185"/>
      <c r="C1361" s="186"/>
      <c r="D1361" s="187"/>
      <c r="E1361" s="187"/>
      <c r="F1361" s="187"/>
      <c r="G1361" s="187"/>
      <c r="H1361" s="187"/>
      <c r="I1361" s="187"/>
      <c r="J1361" s="187"/>
      <c r="K1361" s="187"/>
      <c r="L1361" s="187"/>
      <c r="M1361" s="187"/>
      <c r="N1361" s="187"/>
      <c r="O1361" s="187"/>
      <c r="P1361" s="187"/>
      <c r="Q1361" s="187"/>
      <c r="R1361" s="187"/>
      <c r="S1361" s="188"/>
    </row>
    <row r="1362" spans="2:19" ht="12.75">
      <c r="B1362" s="185"/>
      <c r="C1362" s="186"/>
      <c r="D1362" s="187"/>
      <c r="E1362" s="187"/>
      <c r="F1362" s="187"/>
      <c r="G1362" s="187"/>
      <c r="H1362" s="187"/>
      <c r="I1362" s="187"/>
      <c r="J1362" s="187"/>
      <c r="K1362" s="187"/>
      <c r="L1362" s="187"/>
      <c r="M1362" s="187"/>
      <c r="N1362" s="187"/>
      <c r="O1362" s="187"/>
      <c r="P1362" s="187"/>
      <c r="Q1362" s="187"/>
      <c r="R1362" s="187"/>
      <c r="S1362" s="188"/>
    </row>
    <row r="1363" spans="2:19" ht="12.75">
      <c r="B1363" s="185"/>
      <c r="C1363" s="186"/>
      <c r="D1363" s="187"/>
      <c r="E1363" s="187"/>
      <c r="F1363" s="187"/>
      <c r="G1363" s="187"/>
      <c r="H1363" s="187"/>
      <c r="I1363" s="187"/>
      <c r="J1363" s="187"/>
      <c r="K1363" s="187"/>
      <c r="L1363" s="187"/>
      <c r="M1363" s="187"/>
      <c r="N1363" s="187"/>
      <c r="O1363" s="187"/>
      <c r="P1363" s="187"/>
      <c r="Q1363" s="187"/>
      <c r="R1363" s="187"/>
      <c r="S1363" s="188"/>
    </row>
    <row r="1364" spans="2:19" ht="12.75">
      <c r="B1364" s="185"/>
      <c r="C1364" s="186"/>
      <c r="D1364" s="187"/>
      <c r="E1364" s="187"/>
      <c r="F1364" s="187"/>
      <c r="G1364" s="187"/>
      <c r="H1364" s="187"/>
      <c r="I1364" s="187"/>
      <c r="J1364" s="187"/>
      <c r="K1364" s="187"/>
      <c r="L1364" s="187"/>
      <c r="M1364" s="187"/>
      <c r="N1364" s="187"/>
      <c r="O1364" s="187"/>
      <c r="P1364" s="187"/>
      <c r="Q1364" s="187"/>
      <c r="R1364" s="187"/>
      <c r="S1364" s="188"/>
    </row>
    <row r="1365" spans="2:19" ht="12.75">
      <c r="B1365" s="185"/>
      <c r="C1365" s="186"/>
      <c r="D1365" s="187"/>
      <c r="E1365" s="187"/>
      <c r="F1365" s="187"/>
      <c r="G1365" s="187"/>
      <c r="H1365" s="187"/>
      <c r="I1365" s="187"/>
      <c r="J1365" s="187"/>
      <c r="K1365" s="187"/>
      <c r="L1365" s="187"/>
      <c r="M1365" s="187"/>
      <c r="N1365" s="187"/>
      <c r="O1365" s="187"/>
      <c r="P1365" s="187"/>
      <c r="Q1365" s="187"/>
      <c r="R1365" s="187"/>
      <c r="S1365" s="188"/>
    </row>
    <row r="1366" spans="2:19" ht="12.75">
      <c r="B1366" s="185"/>
      <c r="C1366" s="186"/>
      <c r="D1366" s="187"/>
      <c r="E1366" s="187"/>
      <c r="F1366" s="187"/>
      <c r="G1366" s="187"/>
      <c r="H1366" s="187"/>
      <c r="I1366" s="187"/>
      <c r="J1366" s="187"/>
      <c r="K1366" s="187"/>
      <c r="L1366" s="187"/>
      <c r="M1366" s="187"/>
      <c r="N1366" s="187"/>
      <c r="O1366" s="187"/>
      <c r="P1366" s="187"/>
      <c r="Q1366" s="187"/>
      <c r="R1366" s="187"/>
      <c r="S1366" s="188"/>
    </row>
    <row r="1367" spans="2:19" ht="12.75">
      <c r="B1367" s="185"/>
      <c r="C1367" s="186"/>
      <c r="D1367" s="187"/>
      <c r="E1367" s="187"/>
      <c r="F1367" s="187"/>
      <c r="G1367" s="187"/>
      <c r="H1367" s="187"/>
      <c r="I1367" s="187"/>
      <c r="J1367" s="187"/>
      <c r="K1367" s="187"/>
      <c r="L1367" s="187"/>
      <c r="M1367" s="187"/>
      <c r="N1367" s="187"/>
      <c r="O1367" s="187"/>
      <c r="P1367" s="187"/>
      <c r="Q1367" s="187"/>
      <c r="R1367" s="187"/>
      <c r="S1367" s="188"/>
    </row>
    <row r="1368" spans="2:19" ht="12.75">
      <c r="B1368" s="185"/>
      <c r="C1368" s="186"/>
      <c r="D1368" s="187"/>
      <c r="E1368" s="187"/>
      <c r="F1368" s="187"/>
      <c r="G1368" s="187"/>
      <c r="H1368" s="187"/>
      <c r="I1368" s="187"/>
      <c r="J1368" s="187"/>
      <c r="K1368" s="187"/>
      <c r="L1368" s="187"/>
      <c r="M1368" s="187"/>
      <c r="N1368" s="187"/>
      <c r="O1368" s="187"/>
      <c r="P1368" s="187"/>
      <c r="Q1368" s="187"/>
      <c r="R1368" s="187"/>
      <c r="S1368" s="188"/>
    </row>
    <row r="1369" spans="2:19" ht="12.75">
      <c r="B1369" s="185"/>
      <c r="C1369" s="186"/>
      <c r="D1369" s="187"/>
      <c r="E1369" s="187"/>
      <c r="F1369" s="187"/>
      <c r="G1369" s="187"/>
      <c r="H1369" s="187"/>
      <c r="I1369" s="187"/>
      <c r="J1369" s="187"/>
      <c r="K1369" s="187"/>
      <c r="L1369" s="187"/>
      <c r="M1369" s="187"/>
      <c r="N1369" s="187"/>
      <c r="O1369" s="187"/>
      <c r="P1369" s="187"/>
      <c r="Q1369" s="187"/>
      <c r="R1369" s="187"/>
      <c r="S1369" s="188"/>
    </row>
    <row r="1370" spans="2:19" ht="12.75">
      <c r="B1370" s="185"/>
      <c r="C1370" s="186"/>
      <c r="D1370" s="187"/>
      <c r="E1370" s="187"/>
      <c r="F1370" s="187"/>
      <c r="G1370" s="187"/>
      <c r="H1370" s="187"/>
      <c r="I1370" s="187"/>
      <c r="J1370" s="187"/>
      <c r="K1370" s="187"/>
      <c r="L1370" s="187"/>
      <c r="M1370" s="187"/>
      <c r="N1370" s="187"/>
      <c r="O1370" s="187"/>
      <c r="P1370" s="187"/>
      <c r="Q1370" s="187"/>
      <c r="R1370" s="187"/>
      <c r="S1370" s="188"/>
    </row>
    <row r="1371" spans="2:19" ht="12.75">
      <c r="B1371" s="185"/>
      <c r="C1371" s="186"/>
      <c r="D1371" s="187"/>
      <c r="E1371" s="187"/>
      <c r="F1371" s="187"/>
      <c r="G1371" s="187"/>
      <c r="H1371" s="187"/>
      <c r="I1371" s="187"/>
      <c r="J1371" s="187"/>
      <c r="K1371" s="187"/>
      <c r="L1371" s="187"/>
      <c r="M1371" s="187"/>
      <c r="N1371" s="187"/>
      <c r="O1371" s="187"/>
      <c r="P1371" s="187"/>
      <c r="Q1371" s="187"/>
      <c r="R1371" s="187"/>
      <c r="S1371" s="188"/>
    </row>
    <row r="1372" spans="2:19" ht="12.75">
      <c r="B1372" s="185"/>
      <c r="C1372" s="186"/>
      <c r="D1372" s="187"/>
      <c r="E1372" s="187"/>
      <c r="F1372" s="187"/>
      <c r="G1372" s="187"/>
      <c r="H1372" s="187"/>
      <c r="I1372" s="187"/>
      <c r="J1372" s="187"/>
      <c r="K1372" s="187"/>
      <c r="L1372" s="187"/>
      <c r="M1372" s="187"/>
      <c r="N1372" s="187"/>
      <c r="O1372" s="187"/>
      <c r="P1372" s="187"/>
      <c r="Q1372" s="187"/>
      <c r="R1372" s="187"/>
      <c r="S1372" s="188"/>
    </row>
    <row r="1373" spans="2:19" ht="12.75">
      <c r="B1373" s="185"/>
      <c r="C1373" s="186"/>
      <c r="D1373" s="187"/>
      <c r="E1373" s="187"/>
      <c r="F1373" s="187"/>
      <c r="G1373" s="187"/>
      <c r="H1373" s="187"/>
      <c r="I1373" s="187"/>
      <c r="J1373" s="187"/>
      <c r="K1373" s="187"/>
      <c r="L1373" s="187"/>
      <c r="M1373" s="187"/>
      <c r="N1373" s="187"/>
      <c r="O1373" s="187"/>
      <c r="P1373" s="187"/>
      <c r="Q1373" s="187"/>
      <c r="R1373" s="187"/>
      <c r="S1373" s="188"/>
    </row>
    <row r="1374" spans="2:19" ht="12.75">
      <c r="B1374" s="185"/>
      <c r="C1374" s="186"/>
      <c r="D1374" s="187"/>
      <c r="E1374" s="187"/>
      <c r="F1374" s="187"/>
      <c r="G1374" s="187"/>
      <c r="H1374" s="187"/>
      <c r="I1374" s="187"/>
      <c r="J1374" s="187"/>
      <c r="K1374" s="187"/>
      <c r="L1374" s="187"/>
      <c r="M1374" s="187"/>
      <c r="N1374" s="187"/>
      <c r="O1374" s="187"/>
      <c r="P1374" s="187"/>
      <c r="Q1374" s="187"/>
      <c r="R1374" s="187"/>
      <c r="S1374" s="188"/>
    </row>
    <row r="1375" spans="2:19" ht="12.75">
      <c r="B1375" s="185"/>
      <c r="C1375" s="186"/>
      <c r="D1375" s="187"/>
      <c r="E1375" s="187"/>
      <c r="F1375" s="187"/>
      <c r="G1375" s="187"/>
      <c r="H1375" s="187"/>
      <c r="I1375" s="187"/>
      <c r="J1375" s="187"/>
      <c r="K1375" s="187"/>
      <c r="L1375" s="187"/>
      <c r="M1375" s="187"/>
      <c r="N1375" s="187"/>
      <c r="O1375" s="187"/>
      <c r="P1375" s="187"/>
      <c r="Q1375" s="187"/>
      <c r="R1375" s="187"/>
      <c r="S1375" s="188"/>
    </row>
    <row r="1376" spans="2:19" ht="12.75">
      <c r="B1376" s="185"/>
      <c r="C1376" s="186"/>
      <c r="D1376" s="187"/>
      <c r="E1376" s="187"/>
      <c r="F1376" s="187"/>
      <c r="G1376" s="187"/>
      <c r="H1376" s="187"/>
      <c r="I1376" s="187"/>
      <c r="J1376" s="187"/>
      <c r="K1376" s="187"/>
      <c r="L1376" s="187"/>
      <c r="M1376" s="187"/>
      <c r="N1376" s="187"/>
      <c r="O1376" s="187"/>
      <c r="P1376" s="187"/>
      <c r="Q1376" s="187"/>
      <c r="R1376" s="187"/>
      <c r="S1376" s="188"/>
    </row>
    <row r="1377" spans="2:19" ht="12.75">
      <c r="B1377" s="185"/>
      <c r="C1377" s="186"/>
      <c r="D1377" s="187"/>
      <c r="E1377" s="187"/>
      <c r="F1377" s="187"/>
      <c r="G1377" s="187"/>
      <c r="H1377" s="187"/>
      <c r="I1377" s="187"/>
      <c r="J1377" s="187"/>
      <c r="K1377" s="187"/>
      <c r="L1377" s="187"/>
      <c r="M1377" s="187"/>
      <c r="N1377" s="187"/>
      <c r="O1377" s="187"/>
      <c r="P1377" s="187"/>
      <c r="Q1377" s="187"/>
      <c r="R1377" s="187"/>
      <c r="S1377" s="188"/>
    </row>
    <row r="1378" spans="2:19" ht="12.75">
      <c r="B1378" s="185"/>
      <c r="C1378" s="186"/>
      <c r="D1378" s="187"/>
      <c r="E1378" s="187"/>
      <c r="F1378" s="187"/>
      <c r="G1378" s="187"/>
      <c r="H1378" s="187"/>
      <c r="I1378" s="187"/>
      <c r="J1378" s="187"/>
      <c r="K1378" s="187"/>
      <c r="L1378" s="187"/>
      <c r="M1378" s="187"/>
      <c r="N1378" s="187"/>
      <c r="O1378" s="187"/>
      <c r="P1378" s="187"/>
      <c r="Q1378" s="187"/>
      <c r="R1378" s="187"/>
      <c r="S1378" s="188"/>
    </row>
    <row r="1379" spans="2:19" ht="12.75">
      <c r="B1379" s="185"/>
      <c r="C1379" s="186"/>
      <c r="D1379" s="187"/>
      <c r="E1379" s="187"/>
      <c r="F1379" s="187"/>
      <c r="G1379" s="187"/>
      <c r="H1379" s="187"/>
      <c r="I1379" s="187"/>
      <c r="J1379" s="187"/>
      <c r="K1379" s="187"/>
      <c r="L1379" s="187"/>
      <c r="M1379" s="187"/>
      <c r="N1379" s="187"/>
      <c r="O1379" s="187"/>
      <c r="P1379" s="187"/>
      <c r="Q1379" s="187"/>
      <c r="R1379" s="187"/>
      <c r="S1379" s="188"/>
    </row>
    <row r="1380" spans="2:19" ht="12.75">
      <c r="B1380" s="185"/>
      <c r="C1380" s="186"/>
      <c r="D1380" s="187"/>
      <c r="E1380" s="187"/>
      <c r="F1380" s="187"/>
      <c r="G1380" s="187"/>
      <c r="H1380" s="187"/>
      <c r="I1380" s="187"/>
      <c r="J1380" s="187"/>
      <c r="K1380" s="187"/>
      <c r="L1380" s="187"/>
      <c r="M1380" s="187"/>
      <c r="N1380" s="187"/>
      <c r="O1380" s="187"/>
      <c r="P1380" s="187"/>
      <c r="Q1380" s="187"/>
      <c r="R1380" s="187"/>
      <c r="S1380" s="188"/>
    </row>
    <row r="1381" spans="2:19" ht="12.75">
      <c r="B1381" s="185"/>
      <c r="C1381" s="186"/>
      <c r="D1381" s="187"/>
      <c r="E1381" s="187"/>
      <c r="F1381" s="187"/>
      <c r="G1381" s="187"/>
      <c r="H1381" s="187"/>
      <c r="I1381" s="187"/>
      <c r="J1381" s="187"/>
      <c r="K1381" s="187"/>
      <c r="L1381" s="187"/>
      <c r="M1381" s="187"/>
      <c r="N1381" s="187"/>
      <c r="O1381" s="187"/>
      <c r="P1381" s="187"/>
      <c r="Q1381" s="187"/>
      <c r="R1381" s="187"/>
      <c r="S1381" s="188"/>
    </row>
    <row r="1382" spans="2:19" ht="12.75">
      <c r="B1382" s="185"/>
      <c r="C1382" s="186"/>
      <c r="D1382" s="187"/>
      <c r="E1382" s="187"/>
      <c r="F1382" s="187"/>
      <c r="G1382" s="187"/>
      <c r="H1382" s="187"/>
      <c r="I1382" s="187"/>
      <c r="J1382" s="187"/>
      <c r="K1382" s="187"/>
      <c r="L1382" s="187"/>
      <c r="M1382" s="187"/>
      <c r="N1382" s="187"/>
      <c r="O1382" s="187"/>
      <c r="P1382" s="187"/>
      <c r="Q1382" s="187"/>
      <c r="R1382" s="187"/>
      <c r="S1382" s="188"/>
    </row>
    <row r="1383" spans="2:19" ht="12.75">
      <c r="B1383" s="185"/>
      <c r="C1383" s="186"/>
      <c r="D1383" s="187"/>
      <c r="E1383" s="187"/>
      <c r="F1383" s="187"/>
      <c r="G1383" s="187"/>
      <c r="H1383" s="187"/>
      <c r="I1383" s="187"/>
      <c r="J1383" s="187"/>
      <c r="K1383" s="187"/>
      <c r="L1383" s="187"/>
      <c r="M1383" s="187"/>
      <c r="N1383" s="187"/>
      <c r="O1383" s="187"/>
      <c r="P1383" s="187"/>
      <c r="Q1383" s="187"/>
      <c r="R1383" s="187"/>
      <c r="S1383" s="188"/>
    </row>
    <row r="1384" spans="2:19" ht="12.75">
      <c r="B1384" s="185"/>
      <c r="C1384" s="186"/>
      <c r="D1384" s="187"/>
      <c r="E1384" s="187"/>
      <c r="F1384" s="187"/>
      <c r="G1384" s="187"/>
      <c r="H1384" s="187"/>
      <c r="I1384" s="187"/>
      <c r="J1384" s="187"/>
      <c r="K1384" s="187"/>
      <c r="L1384" s="187"/>
      <c r="M1384" s="187"/>
      <c r="N1384" s="187"/>
      <c r="O1384" s="187"/>
      <c r="P1384" s="187"/>
      <c r="Q1384" s="187"/>
      <c r="R1384" s="187"/>
      <c r="S1384" s="188"/>
    </row>
    <row r="1385" spans="2:19" ht="12.75">
      <c r="B1385" s="185"/>
      <c r="C1385" s="186"/>
      <c r="D1385" s="187"/>
      <c r="E1385" s="187"/>
      <c r="F1385" s="187"/>
      <c r="G1385" s="187"/>
      <c r="H1385" s="187"/>
      <c r="I1385" s="187"/>
      <c r="J1385" s="187"/>
      <c r="K1385" s="187"/>
      <c r="L1385" s="187"/>
      <c r="M1385" s="187"/>
      <c r="N1385" s="187"/>
      <c r="O1385" s="187"/>
      <c r="P1385" s="187"/>
      <c r="Q1385" s="187"/>
      <c r="R1385" s="187"/>
      <c r="S1385" s="188"/>
    </row>
    <row r="1386" spans="2:19" ht="12.75">
      <c r="B1386" s="185"/>
      <c r="C1386" s="186"/>
      <c r="D1386" s="187"/>
      <c r="E1386" s="187"/>
      <c r="F1386" s="187"/>
      <c r="G1386" s="187"/>
      <c r="H1386" s="187"/>
      <c r="I1386" s="187"/>
      <c r="J1386" s="187"/>
      <c r="K1386" s="187"/>
      <c r="L1386" s="187"/>
      <c r="M1386" s="187"/>
      <c r="N1386" s="187"/>
      <c r="O1386" s="187"/>
      <c r="P1386" s="187"/>
      <c r="Q1386" s="187"/>
      <c r="R1386" s="187"/>
      <c r="S1386" s="188"/>
    </row>
    <row r="1387" spans="2:19" ht="12.75">
      <c r="B1387" s="185"/>
      <c r="C1387" s="186"/>
      <c r="D1387" s="187"/>
      <c r="E1387" s="187"/>
      <c r="F1387" s="187"/>
      <c r="G1387" s="187"/>
      <c r="H1387" s="187"/>
      <c r="I1387" s="187"/>
      <c r="J1387" s="187"/>
      <c r="K1387" s="187"/>
      <c r="L1387" s="187"/>
      <c r="M1387" s="187"/>
      <c r="N1387" s="187"/>
      <c r="O1387" s="187"/>
      <c r="P1387" s="187"/>
      <c r="Q1387" s="187"/>
      <c r="R1387" s="187"/>
      <c r="S1387" s="188"/>
    </row>
    <row r="1388" spans="2:19" ht="12.75">
      <c r="B1388" s="185"/>
      <c r="C1388" s="186"/>
      <c r="D1388" s="187"/>
      <c r="E1388" s="187"/>
      <c r="F1388" s="187"/>
      <c r="G1388" s="187"/>
      <c r="H1388" s="187"/>
      <c r="I1388" s="187"/>
      <c r="J1388" s="187"/>
      <c r="K1388" s="187"/>
      <c r="L1388" s="187"/>
      <c r="M1388" s="187"/>
      <c r="N1388" s="187"/>
      <c r="O1388" s="187"/>
      <c r="P1388" s="187"/>
      <c r="Q1388" s="187"/>
      <c r="R1388" s="187"/>
      <c r="S1388" s="188"/>
    </row>
    <row r="1389" spans="2:19" ht="12.75">
      <c r="B1389" s="185"/>
      <c r="C1389" s="186"/>
      <c r="D1389" s="187"/>
      <c r="E1389" s="187"/>
      <c r="F1389" s="187"/>
      <c r="G1389" s="187"/>
      <c r="H1389" s="187"/>
      <c r="I1389" s="187"/>
      <c r="J1389" s="187"/>
      <c r="K1389" s="187"/>
      <c r="L1389" s="187"/>
      <c r="M1389" s="187"/>
      <c r="N1389" s="187"/>
      <c r="O1389" s="187"/>
      <c r="P1389" s="187"/>
      <c r="Q1389" s="187"/>
      <c r="R1389" s="187"/>
      <c r="S1389" s="188"/>
    </row>
    <row r="1390" spans="2:19" ht="12.75">
      <c r="B1390" s="185"/>
      <c r="C1390" s="186"/>
      <c r="D1390" s="187"/>
      <c r="E1390" s="187"/>
      <c r="F1390" s="187"/>
      <c r="G1390" s="187"/>
      <c r="H1390" s="187"/>
      <c r="I1390" s="187"/>
      <c r="J1390" s="187"/>
      <c r="K1390" s="187"/>
      <c r="L1390" s="187"/>
      <c r="M1390" s="187"/>
      <c r="N1390" s="187"/>
      <c r="O1390" s="187"/>
      <c r="P1390" s="187"/>
      <c r="Q1390" s="187"/>
      <c r="R1390" s="187"/>
      <c r="S1390" s="188"/>
    </row>
    <row r="1391" spans="2:19" ht="12.75">
      <c r="B1391" s="185"/>
      <c r="C1391" s="186"/>
      <c r="D1391" s="187"/>
      <c r="E1391" s="187"/>
      <c r="F1391" s="187"/>
      <c r="G1391" s="187"/>
      <c r="H1391" s="187"/>
      <c r="I1391" s="187"/>
      <c r="J1391" s="187"/>
      <c r="K1391" s="187"/>
      <c r="L1391" s="187"/>
      <c r="M1391" s="187"/>
      <c r="N1391" s="187"/>
      <c r="O1391" s="187"/>
      <c r="P1391" s="187"/>
      <c r="Q1391" s="187"/>
      <c r="R1391" s="187"/>
      <c r="S1391" s="188"/>
    </row>
    <row r="1392" spans="2:19" ht="12.75">
      <c r="B1392" s="185"/>
      <c r="C1392" s="186"/>
      <c r="D1392" s="187"/>
      <c r="E1392" s="187"/>
      <c r="F1392" s="187"/>
      <c r="G1392" s="187"/>
      <c r="H1392" s="187"/>
      <c r="I1392" s="187"/>
      <c r="J1392" s="187"/>
      <c r="K1392" s="187"/>
      <c r="L1392" s="187"/>
      <c r="M1392" s="187"/>
      <c r="N1392" s="187"/>
      <c r="O1392" s="187"/>
      <c r="P1392" s="187"/>
      <c r="Q1392" s="187"/>
      <c r="R1392" s="187"/>
      <c r="S1392" s="188"/>
    </row>
    <row r="1393" spans="2:19" ht="12.75">
      <c r="B1393" s="185"/>
      <c r="C1393" s="186"/>
      <c r="D1393" s="187"/>
      <c r="E1393" s="187"/>
      <c r="F1393" s="187"/>
      <c r="G1393" s="187"/>
      <c r="H1393" s="187"/>
      <c r="I1393" s="187"/>
      <c r="J1393" s="187"/>
      <c r="K1393" s="187"/>
      <c r="L1393" s="187"/>
      <c r="M1393" s="187"/>
      <c r="N1393" s="187"/>
      <c r="O1393" s="187"/>
      <c r="P1393" s="187"/>
      <c r="Q1393" s="187"/>
      <c r="R1393" s="187"/>
      <c r="S1393" s="188"/>
    </row>
    <row r="1394" spans="2:19" ht="12.75">
      <c r="B1394" s="185"/>
      <c r="C1394" s="186"/>
      <c r="D1394" s="187"/>
      <c r="E1394" s="187"/>
      <c r="F1394" s="187"/>
      <c r="G1394" s="187"/>
      <c r="H1394" s="187"/>
      <c r="I1394" s="187"/>
      <c r="J1394" s="187"/>
      <c r="K1394" s="187"/>
      <c r="L1394" s="187"/>
      <c r="M1394" s="187"/>
      <c r="N1394" s="187"/>
      <c r="O1394" s="187"/>
      <c r="P1394" s="187"/>
      <c r="Q1394" s="187"/>
      <c r="R1394" s="187"/>
      <c r="S1394" s="188"/>
    </row>
    <row r="1395" spans="2:19" ht="12.75">
      <c r="B1395" s="185"/>
      <c r="C1395" s="186"/>
      <c r="D1395" s="187"/>
      <c r="E1395" s="187"/>
      <c r="F1395" s="187"/>
      <c r="G1395" s="187"/>
      <c r="H1395" s="187"/>
      <c r="I1395" s="187"/>
      <c r="J1395" s="187"/>
      <c r="K1395" s="187"/>
      <c r="L1395" s="187"/>
      <c r="M1395" s="187"/>
      <c r="N1395" s="187"/>
      <c r="O1395" s="187"/>
      <c r="P1395" s="187"/>
      <c r="Q1395" s="187"/>
      <c r="R1395" s="187"/>
      <c r="S1395" s="188"/>
    </row>
    <row r="1396" spans="2:19" ht="12.75">
      <c r="B1396" s="185"/>
      <c r="C1396" s="186"/>
      <c r="D1396" s="187"/>
      <c r="E1396" s="187"/>
      <c r="F1396" s="187"/>
      <c r="G1396" s="187"/>
      <c r="H1396" s="187"/>
      <c r="I1396" s="187"/>
      <c r="J1396" s="187"/>
      <c r="K1396" s="187"/>
      <c r="L1396" s="187"/>
      <c r="M1396" s="187"/>
      <c r="N1396" s="187"/>
      <c r="O1396" s="187"/>
      <c r="P1396" s="187"/>
      <c r="Q1396" s="187"/>
      <c r="R1396" s="187"/>
      <c r="S1396" s="188"/>
    </row>
    <row r="1397" spans="2:19" ht="12.75">
      <c r="B1397" s="185"/>
      <c r="C1397" s="186"/>
      <c r="D1397" s="187"/>
      <c r="E1397" s="187"/>
      <c r="F1397" s="187"/>
      <c r="G1397" s="187"/>
      <c r="H1397" s="187"/>
      <c r="I1397" s="187"/>
      <c r="J1397" s="187"/>
      <c r="K1397" s="187"/>
      <c r="L1397" s="187"/>
      <c r="M1397" s="187"/>
      <c r="N1397" s="187"/>
      <c r="O1397" s="187"/>
      <c r="P1397" s="187"/>
      <c r="Q1397" s="187"/>
      <c r="R1397" s="187"/>
      <c r="S1397" s="188"/>
    </row>
    <row r="1398" spans="2:19" ht="12.75">
      <c r="B1398" s="185"/>
      <c r="C1398" s="186"/>
      <c r="D1398" s="187"/>
      <c r="E1398" s="187"/>
      <c r="F1398" s="187"/>
      <c r="G1398" s="187"/>
      <c r="H1398" s="187"/>
      <c r="I1398" s="187"/>
      <c r="J1398" s="187"/>
      <c r="K1398" s="187"/>
      <c r="L1398" s="187"/>
      <c r="M1398" s="187"/>
      <c r="N1398" s="187"/>
      <c r="O1398" s="187"/>
      <c r="P1398" s="187"/>
      <c r="Q1398" s="187"/>
      <c r="R1398" s="187"/>
      <c r="S1398" s="188"/>
    </row>
    <row r="1399" spans="2:19" ht="12.75">
      <c r="B1399" s="185"/>
      <c r="C1399" s="186"/>
      <c r="D1399" s="187"/>
      <c r="E1399" s="187"/>
      <c r="F1399" s="187"/>
      <c r="G1399" s="187"/>
      <c r="H1399" s="187"/>
      <c r="I1399" s="187"/>
      <c r="J1399" s="187"/>
      <c r="K1399" s="187"/>
      <c r="L1399" s="187"/>
      <c r="M1399" s="187"/>
      <c r="N1399" s="187"/>
      <c r="O1399" s="187"/>
      <c r="P1399" s="187"/>
      <c r="Q1399" s="187"/>
      <c r="R1399" s="187"/>
      <c r="S1399" s="188"/>
    </row>
    <row r="1400" spans="2:19" ht="12.75">
      <c r="B1400" s="185"/>
      <c r="C1400" s="186"/>
      <c r="D1400" s="187"/>
      <c r="E1400" s="187"/>
      <c r="F1400" s="187"/>
      <c r="G1400" s="187"/>
      <c r="H1400" s="187"/>
      <c r="I1400" s="187"/>
      <c r="J1400" s="187"/>
      <c r="K1400" s="187"/>
      <c r="L1400" s="187"/>
      <c r="M1400" s="187"/>
      <c r="N1400" s="187"/>
      <c r="O1400" s="187"/>
      <c r="P1400" s="187"/>
      <c r="Q1400" s="187"/>
      <c r="R1400" s="187"/>
      <c r="S1400" s="188"/>
    </row>
    <row r="1401" spans="2:19" ht="12.75">
      <c r="B1401" s="185"/>
      <c r="C1401" s="186"/>
      <c r="D1401" s="187"/>
      <c r="E1401" s="187"/>
      <c r="F1401" s="187"/>
      <c r="G1401" s="187"/>
      <c r="H1401" s="187"/>
      <c r="I1401" s="187"/>
      <c r="J1401" s="187"/>
      <c r="K1401" s="187"/>
      <c r="L1401" s="187"/>
      <c r="M1401" s="187"/>
      <c r="N1401" s="187"/>
      <c r="O1401" s="187"/>
      <c r="P1401" s="187"/>
      <c r="Q1401" s="187"/>
      <c r="R1401" s="187"/>
      <c r="S1401" s="188"/>
    </row>
    <row r="1402" spans="2:19" ht="12.75">
      <c r="B1402" s="185"/>
      <c r="C1402" s="186"/>
      <c r="D1402" s="187"/>
      <c r="E1402" s="187"/>
      <c r="F1402" s="187"/>
      <c r="G1402" s="187"/>
      <c r="H1402" s="187"/>
      <c r="I1402" s="187"/>
      <c r="J1402" s="187"/>
      <c r="K1402" s="187"/>
      <c r="L1402" s="187"/>
      <c r="M1402" s="187"/>
      <c r="N1402" s="187"/>
      <c r="O1402" s="187"/>
      <c r="P1402" s="187"/>
      <c r="Q1402" s="187"/>
      <c r="R1402" s="187"/>
      <c r="S1402" s="188"/>
    </row>
    <row r="1403" spans="2:19" ht="12.75">
      <c r="B1403" s="185"/>
      <c r="C1403" s="186"/>
      <c r="D1403" s="187"/>
      <c r="E1403" s="187"/>
      <c r="F1403" s="187"/>
      <c r="G1403" s="187"/>
      <c r="H1403" s="187"/>
      <c r="I1403" s="187"/>
      <c r="J1403" s="187"/>
      <c r="K1403" s="187"/>
      <c r="L1403" s="187"/>
      <c r="M1403" s="187"/>
      <c r="N1403" s="187"/>
      <c r="O1403" s="187"/>
      <c r="P1403" s="187"/>
      <c r="Q1403" s="187"/>
      <c r="R1403" s="187"/>
      <c r="S1403" s="188"/>
    </row>
    <row r="1404" spans="2:19" ht="12.75">
      <c r="B1404" s="185"/>
      <c r="C1404" s="186"/>
      <c r="D1404" s="187"/>
      <c r="E1404" s="187"/>
      <c r="F1404" s="187"/>
      <c r="G1404" s="187"/>
      <c r="H1404" s="187"/>
      <c r="I1404" s="187"/>
      <c r="J1404" s="187"/>
      <c r="K1404" s="187"/>
      <c r="L1404" s="187"/>
      <c r="M1404" s="187"/>
      <c r="N1404" s="187"/>
      <c r="O1404" s="187"/>
      <c r="P1404" s="187"/>
      <c r="Q1404" s="187"/>
      <c r="R1404" s="187"/>
      <c r="S1404" s="188"/>
    </row>
    <row r="1405" spans="2:19" ht="12.75">
      <c r="B1405" s="185"/>
      <c r="C1405" s="186"/>
      <c r="D1405" s="187"/>
      <c r="E1405" s="187"/>
      <c r="F1405" s="187"/>
      <c r="G1405" s="187"/>
      <c r="H1405" s="187"/>
      <c r="I1405" s="187"/>
      <c r="J1405" s="187"/>
      <c r="K1405" s="187"/>
      <c r="L1405" s="187"/>
      <c r="M1405" s="187"/>
      <c r="N1405" s="187"/>
      <c r="O1405" s="187"/>
      <c r="P1405" s="187"/>
      <c r="Q1405" s="187"/>
      <c r="R1405" s="187"/>
      <c r="S1405" s="188"/>
    </row>
    <row r="1406" spans="2:19" ht="12.75">
      <c r="B1406" s="185"/>
      <c r="C1406" s="186"/>
      <c r="D1406" s="187"/>
      <c r="E1406" s="187"/>
      <c r="F1406" s="187"/>
      <c r="G1406" s="187"/>
      <c r="H1406" s="187"/>
      <c r="I1406" s="187"/>
      <c r="J1406" s="187"/>
      <c r="K1406" s="187"/>
      <c r="L1406" s="187"/>
      <c r="M1406" s="187"/>
      <c r="N1406" s="187"/>
      <c r="O1406" s="187"/>
      <c r="P1406" s="187"/>
      <c r="Q1406" s="187"/>
      <c r="R1406" s="187"/>
      <c r="S1406" s="188"/>
    </row>
    <row r="1407" spans="2:19" ht="12.75">
      <c r="B1407" s="185"/>
      <c r="C1407" s="186"/>
      <c r="D1407" s="187"/>
      <c r="E1407" s="187"/>
      <c r="F1407" s="187"/>
      <c r="G1407" s="187"/>
      <c r="H1407" s="187"/>
      <c r="I1407" s="187"/>
      <c r="J1407" s="187"/>
      <c r="K1407" s="187"/>
      <c r="L1407" s="187"/>
      <c r="M1407" s="187"/>
      <c r="N1407" s="187"/>
      <c r="O1407" s="187"/>
      <c r="P1407" s="187"/>
      <c r="Q1407" s="187"/>
      <c r="R1407" s="187"/>
      <c r="S1407" s="188"/>
    </row>
    <row r="1408" spans="2:19" ht="12.75">
      <c r="B1408" s="185"/>
      <c r="C1408" s="186"/>
      <c r="D1408" s="187"/>
      <c r="E1408" s="187"/>
      <c r="F1408" s="187"/>
      <c r="G1408" s="187"/>
      <c r="H1408" s="187"/>
      <c r="I1408" s="187"/>
      <c r="J1408" s="187"/>
      <c r="K1408" s="187"/>
      <c r="L1408" s="187"/>
      <c r="M1408" s="187"/>
      <c r="N1408" s="187"/>
      <c r="O1408" s="187"/>
      <c r="P1408" s="187"/>
      <c r="Q1408" s="187"/>
      <c r="R1408" s="187"/>
      <c r="S1408" s="188"/>
    </row>
    <row r="1409" spans="2:19" ht="12.75">
      <c r="B1409" s="185"/>
      <c r="C1409" s="186"/>
      <c r="D1409" s="187"/>
      <c r="E1409" s="187"/>
      <c r="F1409" s="187"/>
      <c r="G1409" s="187"/>
      <c r="H1409" s="187"/>
      <c r="I1409" s="187"/>
      <c r="J1409" s="187"/>
      <c r="K1409" s="187"/>
      <c r="L1409" s="187"/>
      <c r="M1409" s="187"/>
      <c r="N1409" s="187"/>
      <c r="O1409" s="187"/>
      <c r="P1409" s="187"/>
      <c r="Q1409" s="187"/>
      <c r="R1409" s="187"/>
      <c r="S1409" s="188"/>
    </row>
    <row r="1410" spans="2:19" ht="12.75">
      <c r="B1410" s="185"/>
      <c r="C1410" s="186"/>
      <c r="D1410" s="187"/>
      <c r="E1410" s="187"/>
      <c r="F1410" s="187"/>
      <c r="G1410" s="187"/>
      <c r="H1410" s="187"/>
      <c r="I1410" s="187"/>
      <c r="J1410" s="187"/>
      <c r="K1410" s="187"/>
      <c r="L1410" s="187"/>
      <c r="M1410" s="187"/>
      <c r="N1410" s="187"/>
      <c r="O1410" s="187"/>
      <c r="P1410" s="187"/>
      <c r="Q1410" s="187"/>
      <c r="R1410" s="187"/>
      <c r="S1410" s="188"/>
    </row>
    <row r="1411" spans="2:19" ht="12.75">
      <c r="B1411" s="185"/>
      <c r="C1411" s="186"/>
      <c r="D1411" s="187"/>
      <c r="E1411" s="187"/>
      <c r="F1411" s="187"/>
      <c r="G1411" s="187"/>
      <c r="H1411" s="187"/>
      <c r="I1411" s="187"/>
      <c r="J1411" s="187"/>
      <c r="K1411" s="187"/>
      <c r="L1411" s="187"/>
      <c r="M1411" s="187"/>
      <c r="N1411" s="187"/>
      <c r="O1411" s="187"/>
      <c r="P1411" s="187"/>
      <c r="Q1411" s="187"/>
      <c r="R1411" s="187"/>
      <c r="S1411" s="188"/>
    </row>
    <row r="1412" spans="2:19" ht="12.75">
      <c r="B1412" s="185"/>
      <c r="C1412" s="186"/>
      <c r="D1412" s="187"/>
      <c r="E1412" s="187"/>
      <c r="F1412" s="187"/>
      <c r="G1412" s="187"/>
      <c r="H1412" s="187"/>
      <c r="I1412" s="187"/>
      <c r="J1412" s="187"/>
      <c r="K1412" s="187"/>
      <c r="L1412" s="187"/>
      <c r="M1412" s="187"/>
      <c r="N1412" s="187"/>
      <c r="O1412" s="187"/>
      <c r="P1412" s="187"/>
      <c r="Q1412" s="187"/>
      <c r="R1412" s="187"/>
      <c r="S1412" s="188"/>
    </row>
    <row r="1413" spans="2:19" ht="12.75">
      <c r="B1413" s="185"/>
      <c r="C1413" s="186"/>
      <c r="D1413" s="187"/>
      <c r="E1413" s="187"/>
      <c r="F1413" s="187"/>
      <c r="G1413" s="187"/>
      <c r="H1413" s="187"/>
      <c r="I1413" s="187"/>
      <c r="J1413" s="187"/>
      <c r="K1413" s="187"/>
      <c r="L1413" s="187"/>
      <c r="M1413" s="187"/>
      <c r="N1413" s="187"/>
      <c r="O1413" s="187"/>
      <c r="P1413" s="187"/>
      <c r="Q1413" s="187"/>
      <c r="R1413" s="187"/>
      <c r="S1413" s="188"/>
    </row>
    <row r="1414" spans="2:19" ht="12.75">
      <c r="B1414" s="185"/>
      <c r="C1414" s="186"/>
      <c r="D1414" s="187"/>
      <c r="E1414" s="187"/>
      <c r="F1414" s="187"/>
      <c r="G1414" s="187"/>
      <c r="H1414" s="187"/>
      <c r="I1414" s="187"/>
      <c r="J1414" s="187"/>
      <c r="K1414" s="187"/>
      <c r="L1414" s="187"/>
      <c r="M1414" s="187"/>
      <c r="N1414" s="187"/>
      <c r="O1414" s="187"/>
      <c r="P1414" s="187"/>
      <c r="Q1414" s="187"/>
      <c r="R1414" s="187"/>
      <c r="S1414" s="188"/>
    </row>
    <row r="1415" spans="2:19" ht="12.75">
      <c r="B1415" s="185"/>
      <c r="C1415" s="186"/>
      <c r="D1415" s="187"/>
      <c r="E1415" s="187"/>
      <c r="F1415" s="187"/>
      <c r="G1415" s="187"/>
      <c r="H1415" s="187"/>
      <c r="I1415" s="187"/>
      <c r="J1415" s="187"/>
      <c r="K1415" s="187"/>
      <c r="L1415" s="187"/>
      <c r="M1415" s="187"/>
      <c r="N1415" s="187"/>
      <c r="O1415" s="187"/>
      <c r="P1415" s="187"/>
      <c r="Q1415" s="187"/>
      <c r="R1415" s="187"/>
      <c r="S1415" s="188"/>
    </row>
    <row r="1416" spans="2:19" ht="12.75">
      <c r="B1416" s="185"/>
      <c r="C1416" s="186"/>
      <c r="D1416" s="187"/>
      <c r="E1416" s="187"/>
      <c r="F1416" s="187"/>
      <c r="G1416" s="187"/>
      <c r="H1416" s="187"/>
      <c r="I1416" s="187"/>
      <c r="J1416" s="187"/>
      <c r="K1416" s="187"/>
      <c r="L1416" s="187"/>
      <c r="M1416" s="187"/>
      <c r="N1416" s="187"/>
      <c r="O1416" s="187"/>
      <c r="P1416" s="187"/>
      <c r="Q1416" s="187"/>
      <c r="R1416" s="187"/>
      <c r="S1416" s="188"/>
    </row>
    <row r="1417" spans="2:19" ht="12.75">
      <c r="B1417" s="185"/>
      <c r="C1417" s="186"/>
      <c r="D1417" s="187"/>
      <c r="E1417" s="187"/>
      <c r="F1417" s="187"/>
      <c r="G1417" s="187"/>
      <c r="H1417" s="187"/>
      <c r="I1417" s="187"/>
      <c r="J1417" s="187"/>
      <c r="K1417" s="187"/>
      <c r="L1417" s="187"/>
      <c r="M1417" s="187"/>
      <c r="N1417" s="187"/>
      <c r="O1417" s="187"/>
      <c r="P1417" s="187"/>
      <c r="Q1417" s="187"/>
      <c r="R1417" s="187"/>
      <c r="S1417" s="188"/>
    </row>
    <row r="1418" spans="2:19" ht="12.75">
      <c r="B1418" s="185"/>
      <c r="C1418" s="186"/>
      <c r="D1418" s="187"/>
      <c r="E1418" s="187"/>
      <c r="F1418" s="187"/>
      <c r="G1418" s="187"/>
      <c r="H1418" s="187"/>
      <c r="I1418" s="187"/>
      <c r="J1418" s="187"/>
      <c r="K1418" s="187"/>
      <c r="L1418" s="187"/>
      <c r="M1418" s="187"/>
      <c r="N1418" s="187"/>
      <c r="O1418" s="187"/>
      <c r="P1418" s="187"/>
      <c r="Q1418" s="187"/>
      <c r="R1418" s="187"/>
      <c r="S1418" s="188"/>
    </row>
    <row r="1419" spans="2:19" ht="12.75">
      <c r="B1419" s="185"/>
      <c r="C1419" s="186"/>
      <c r="D1419" s="187"/>
      <c r="E1419" s="187"/>
      <c r="F1419" s="187"/>
      <c r="G1419" s="187"/>
      <c r="H1419" s="187"/>
      <c r="I1419" s="187"/>
      <c r="J1419" s="187"/>
      <c r="K1419" s="187"/>
      <c r="L1419" s="187"/>
      <c r="M1419" s="187"/>
      <c r="N1419" s="187"/>
      <c r="O1419" s="187"/>
      <c r="P1419" s="187"/>
      <c r="Q1419" s="187"/>
      <c r="R1419" s="187"/>
      <c r="S1419" s="188"/>
    </row>
    <row r="1420" spans="2:19" ht="12.75">
      <c r="B1420" s="185"/>
      <c r="C1420" s="186"/>
      <c r="D1420" s="187"/>
      <c r="E1420" s="187"/>
      <c r="F1420" s="187"/>
      <c r="G1420" s="187"/>
      <c r="H1420" s="187"/>
      <c r="I1420" s="187"/>
      <c r="J1420" s="187"/>
      <c r="K1420" s="187"/>
      <c r="L1420" s="187"/>
      <c r="M1420" s="187"/>
      <c r="N1420" s="187"/>
      <c r="O1420" s="187"/>
      <c r="P1420" s="187"/>
      <c r="Q1420" s="187"/>
      <c r="R1420" s="187"/>
      <c r="S1420" s="188"/>
    </row>
    <row r="1421" spans="2:19" ht="12.75">
      <c r="B1421" s="185"/>
      <c r="C1421" s="186"/>
      <c r="D1421" s="187"/>
      <c r="E1421" s="187"/>
      <c r="F1421" s="187"/>
      <c r="G1421" s="187"/>
      <c r="H1421" s="187"/>
      <c r="I1421" s="187"/>
      <c r="J1421" s="187"/>
      <c r="K1421" s="187"/>
      <c r="L1421" s="187"/>
      <c r="M1421" s="187"/>
      <c r="N1421" s="187"/>
      <c r="O1421" s="187"/>
      <c r="P1421" s="187"/>
      <c r="Q1421" s="187"/>
      <c r="R1421" s="187"/>
      <c r="S1421" s="188"/>
    </row>
    <row r="1422" spans="2:19" ht="12.75">
      <c r="B1422" s="185"/>
      <c r="C1422" s="186"/>
      <c r="D1422" s="187"/>
      <c r="E1422" s="187"/>
      <c r="F1422" s="187"/>
      <c r="G1422" s="187"/>
      <c r="H1422" s="187"/>
      <c r="I1422" s="187"/>
      <c r="J1422" s="187"/>
      <c r="K1422" s="187"/>
      <c r="L1422" s="187"/>
      <c r="M1422" s="187"/>
      <c r="N1422" s="187"/>
      <c r="O1422" s="187"/>
      <c r="P1422" s="187"/>
      <c r="Q1422" s="187"/>
      <c r="R1422" s="187"/>
      <c r="S1422" s="188"/>
    </row>
    <row r="1423" spans="2:19" ht="12.75">
      <c r="B1423" s="185"/>
      <c r="C1423" s="186"/>
      <c r="D1423" s="187"/>
      <c r="E1423" s="187"/>
      <c r="F1423" s="187"/>
      <c r="G1423" s="187"/>
      <c r="H1423" s="187"/>
      <c r="I1423" s="187"/>
      <c r="J1423" s="187"/>
      <c r="K1423" s="187"/>
      <c r="L1423" s="187"/>
      <c r="M1423" s="187"/>
      <c r="N1423" s="187"/>
      <c r="O1423" s="187"/>
      <c r="P1423" s="187"/>
      <c r="Q1423" s="187"/>
      <c r="R1423" s="187"/>
      <c r="S1423" s="188"/>
    </row>
    <row r="1424" spans="2:19" ht="12.75">
      <c r="B1424" s="185"/>
      <c r="C1424" s="186"/>
      <c r="D1424" s="187"/>
      <c r="E1424" s="187"/>
      <c r="F1424" s="187"/>
      <c r="G1424" s="187"/>
      <c r="H1424" s="187"/>
      <c r="I1424" s="187"/>
      <c r="J1424" s="187"/>
      <c r="K1424" s="187"/>
      <c r="L1424" s="187"/>
      <c r="M1424" s="187"/>
      <c r="N1424" s="187"/>
      <c r="O1424" s="187"/>
      <c r="P1424" s="187"/>
      <c r="Q1424" s="187"/>
      <c r="R1424" s="187"/>
      <c r="S1424" s="188"/>
    </row>
    <row r="1425" spans="2:19" ht="12.75">
      <c r="B1425" s="185"/>
      <c r="C1425" s="186"/>
      <c r="D1425" s="187"/>
      <c r="E1425" s="187"/>
      <c r="F1425" s="187"/>
      <c r="G1425" s="187"/>
      <c r="H1425" s="187"/>
      <c r="I1425" s="187"/>
      <c r="J1425" s="187"/>
      <c r="K1425" s="187"/>
      <c r="L1425" s="187"/>
      <c r="M1425" s="187"/>
      <c r="N1425" s="187"/>
      <c r="O1425" s="187"/>
      <c r="P1425" s="187"/>
      <c r="Q1425" s="187"/>
      <c r="R1425" s="187"/>
      <c r="S1425" s="188"/>
    </row>
    <row r="1426" spans="2:19" ht="12.75">
      <c r="B1426" s="185"/>
      <c r="C1426" s="186"/>
      <c r="D1426" s="187"/>
      <c r="E1426" s="187"/>
      <c r="F1426" s="187"/>
      <c r="G1426" s="187"/>
      <c r="H1426" s="187"/>
      <c r="I1426" s="187"/>
      <c r="J1426" s="187"/>
      <c r="K1426" s="187"/>
      <c r="L1426" s="187"/>
      <c r="M1426" s="187"/>
      <c r="N1426" s="187"/>
      <c r="O1426" s="187"/>
      <c r="P1426" s="187"/>
      <c r="Q1426" s="187"/>
      <c r="R1426" s="187"/>
      <c r="S1426" s="188"/>
    </row>
    <row r="1427" spans="2:19" ht="12.75">
      <c r="B1427" s="185"/>
      <c r="C1427" s="186"/>
      <c r="D1427" s="187"/>
      <c r="E1427" s="187"/>
      <c r="F1427" s="187"/>
      <c r="G1427" s="187"/>
      <c r="H1427" s="187"/>
      <c r="I1427" s="187"/>
      <c r="J1427" s="187"/>
      <c r="K1427" s="187"/>
      <c r="L1427" s="187"/>
      <c r="M1427" s="187"/>
      <c r="N1427" s="187"/>
      <c r="O1427" s="187"/>
      <c r="P1427" s="187"/>
      <c r="Q1427" s="187"/>
      <c r="R1427" s="187"/>
      <c r="S1427" s="188"/>
    </row>
    <row r="1428" spans="2:19" ht="12.75">
      <c r="B1428" s="185"/>
      <c r="C1428" s="186"/>
      <c r="D1428" s="187"/>
      <c r="E1428" s="187"/>
      <c r="F1428" s="187"/>
      <c r="G1428" s="187"/>
      <c r="H1428" s="187"/>
      <c r="I1428" s="187"/>
      <c r="J1428" s="187"/>
      <c r="K1428" s="187"/>
      <c r="L1428" s="187"/>
      <c r="M1428" s="187"/>
      <c r="N1428" s="187"/>
      <c r="O1428" s="187"/>
      <c r="P1428" s="187"/>
      <c r="Q1428" s="187"/>
      <c r="R1428" s="187"/>
      <c r="S1428" s="188"/>
    </row>
    <row r="1429" spans="2:19" ht="12.75">
      <c r="B1429" s="185"/>
      <c r="C1429" s="186"/>
      <c r="D1429" s="187"/>
      <c r="E1429" s="187"/>
      <c r="F1429" s="187"/>
      <c r="G1429" s="187"/>
      <c r="H1429" s="187"/>
      <c r="I1429" s="187"/>
      <c r="J1429" s="187"/>
      <c r="K1429" s="187"/>
      <c r="L1429" s="187"/>
      <c r="M1429" s="187"/>
      <c r="N1429" s="187"/>
      <c r="O1429" s="187"/>
      <c r="P1429" s="187"/>
      <c r="Q1429" s="187"/>
      <c r="R1429" s="187"/>
      <c r="S1429" s="188"/>
    </row>
    <row r="1430" spans="2:19" ht="12.75">
      <c r="B1430" s="185"/>
      <c r="C1430" s="186"/>
      <c r="D1430" s="187"/>
      <c r="E1430" s="187"/>
      <c r="F1430" s="187"/>
      <c r="G1430" s="187"/>
      <c r="H1430" s="187"/>
      <c r="I1430" s="187"/>
      <c r="J1430" s="187"/>
      <c r="K1430" s="187"/>
      <c r="L1430" s="187"/>
      <c r="M1430" s="187"/>
      <c r="N1430" s="187"/>
      <c r="O1430" s="187"/>
      <c r="P1430" s="187"/>
      <c r="Q1430" s="187"/>
      <c r="R1430" s="187"/>
      <c r="S1430" s="188"/>
    </row>
    <row r="1431" spans="2:19" ht="12.75">
      <c r="B1431" s="185"/>
      <c r="C1431" s="186"/>
      <c r="D1431" s="187"/>
      <c r="E1431" s="187"/>
      <c r="F1431" s="187"/>
      <c r="G1431" s="187"/>
      <c r="H1431" s="187"/>
      <c r="I1431" s="187"/>
      <c r="J1431" s="187"/>
      <c r="K1431" s="187"/>
      <c r="L1431" s="187"/>
      <c r="M1431" s="187"/>
      <c r="N1431" s="187"/>
      <c r="O1431" s="187"/>
      <c r="P1431" s="187"/>
      <c r="Q1431" s="187"/>
      <c r="R1431" s="187"/>
      <c r="S1431" s="188"/>
    </row>
    <row r="1432" spans="2:19" ht="12.75">
      <c r="B1432" s="185"/>
      <c r="C1432" s="186"/>
      <c r="D1432" s="187"/>
      <c r="E1432" s="187"/>
      <c r="F1432" s="187"/>
      <c r="G1432" s="187"/>
      <c r="H1432" s="187"/>
      <c r="I1432" s="187"/>
      <c r="J1432" s="187"/>
      <c r="K1432" s="187"/>
      <c r="L1432" s="187"/>
      <c r="M1432" s="187"/>
      <c r="N1432" s="187"/>
      <c r="O1432" s="187"/>
      <c r="P1432" s="187"/>
      <c r="Q1432" s="187"/>
      <c r="R1432" s="187"/>
      <c r="S1432" s="188"/>
    </row>
    <row r="1433" spans="2:19" ht="12.75">
      <c r="B1433" s="185"/>
      <c r="C1433" s="186"/>
      <c r="D1433" s="187"/>
      <c r="E1433" s="187"/>
      <c r="F1433" s="187"/>
      <c r="G1433" s="187"/>
      <c r="H1433" s="187"/>
      <c r="I1433" s="187"/>
      <c r="J1433" s="187"/>
      <c r="K1433" s="187"/>
      <c r="L1433" s="187"/>
      <c r="M1433" s="187"/>
      <c r="N1433" s="187"/>
      <c r="O1433" s="187"/>
      <c r="P1433" s="187"/>
      <c r="Q1433" s="187"/>
      <c r="R1433" s="187"/>
      <c r="S1433" s="188"/>
    </row>
    <row r="1434" spans="2:19" ht="12.75">
      <c r="B1434" s="185"/>
      <c r="C1434" s="186"/>
      <c r="D1434" s="187"/>
      <c r="E1434" s="187"/>
      <c r="F1434" s="187"/>
      <c r="G1434" s="187"/>
      <c r="H1434" s="187"/>
      <c r="I1434" s="187"/>
      <c r="J1434" s="187"/>
      <c r="K1434" s="187"/>
      <c r="L1434" s="187"/>
      <c r="M1434" s="187"/>
      <c r="N1434" s="187"/>
      <c r="O1434" s="187"/>
      <c r="P1434" s="187"/>
      <c r="Q1434" s="187"/>
      <c r="R1434" s="187"/>
      <c r="S1434" s="188"/>
    </row>
    <row r="1435" spans="2:19" ht="12.75">
      <c r="B1435" s="185"/>
      <c r="C1435" s="186"/>
      <c r="D1435" s="187"/>
      <c r="E1435" s="187"/>
      <c r="F1435" s="187"/>
      <c r="G1435" s="187"/>
      <c r="H1435" s="187"/>
      <c r="I1435" s="187"/>
      <c r="J1435" s="187"/>
      <c r="K1435" s="187"/>
      <c r="L1435" s="187"/>
      <c r="M1435" s="187"/>
      <c r="N1435" s="187"/>
      <c r="O1435" s="187"/>
      <c r="P1435" s="187"/>
      <c r="Q1435" s="187"/>
      <c r="R1435" s="187"/>
      <c r="S1435" s="188"/>
    </row>
    <row r="1436" spans="2:19" ht="12.75">
      <c r="B1436" s="185"/>
      <c r="C1436" s="186"/>
      <c r="D1436" s="187"/>
      <c r="E1436" s="187"/>
      <c r="F1436" s="187"/>
      <c r="G1436" s="187"/>
      <c r="H1436" s="187"/>
      <c r="I1436" s="187"/>
      <c r="J1436" s="187"/>
      <c r="K1436" s="187"/>
      <c r="L1436" s="187"/>
      <c r="M1436" s="187"/>
      <c r="N1436" s="187"/>
      <c r="O1436" s="187"/>
      <c r="P1436" s="187"/>
      <c r="Q1436" s="187"/>
      <c r="R1436" s="187"/>
      <c r="S1436" s="188"/>
    </row>
    <row r="1437" spans="2:19" ht="12.75">
      <c r="B1437" s="185"/>
      <c r="C1437" s="186"/>
      <c r="D1437" s="187"/>
      <c r="E1437" s="187"/>
      <c r="F1437" s="187"/>
      <c r="G1437" s="187"/>
      <c r="H1437" s="187"/>
      <c r="I1437" s="187"/>
      <c r="J1437" s="187"/>
      <c r="K1437" s="187"/>
      <c r="L1437" s="187"/>
      <c r="M1437" s="187"/>
      <c r="N1437" s="187"/>
      <c r="O1437" s="187"/>
      <c r="P1437" s="187"/>
      <c r="Q1437" s="187"/>
      <c r="R1437" s="187"/>
      <c r="S1437" s="188"/>
    </row>
    <row r="1438" spans="2:19" ht="12.75">
      <c r="B1438" s="185"/>
      <c r="C1438" s="186"/>
      <c r="D1438" s="187"/>
      <c r="E1438" s="187"/>
      <c r="F1438" s="187"/>
      <c r="G1438" s="187"/>
      <c r="H1438" s="187"/>
      <c r="I1438" s="187"/>
      <c r="J1438" s="187"/>
      <c r="K1438" s="187"/>
      <c r="L1438" s="187"/>
      <c r="M1438" s="187"/>
      <c r="N1438" s="187"/>
      <c r="O1438" s="187"/>
      <c r="P1438" s="187"/>
      <c r="Q1438" s="187"/>
      <c r="R1438" s="187"/>
      <c r="S1438" s="188"/>
    </row>
    <row r="1439" spans="2:19" ht="12.75">
      <c r="B1439" s="185"/>
      <c r="C1439" s="186"/>
      <c r="D1439" s="187"/>
      <c r="E1439" s="187"/>
      <c r="F1439" s="187"/>
      <c r="G1439" s="187"/>
      <c r="H1439" s="187"/>
      <c r="I1439" s="187"/>
      <c r="J1439" s="187"/>
      <c r="K1439" s="187"/>
      <c r="L1439" s="187"/>
      <c r="M1439" s="187"/>
      <c r="N1439" s="187"/>
      <c r="O1439" s="187"/>
      <c r="P1439" s="187"/>
      <c r="Q1439" s="187"/>
      <c r="R1439" s="187"/>
      <c r="S1439" s="188"/>
    </row>
    <row r="1440" spans="2:19" ht="12.75">
      <c r="B1440" s="185"/>
      <c r="C1440" s="186"/>
      <c r="D1440" s="187"/>
      <c r="E1440" s="187"/>
      <c r="F1440" s="187"/>
      <c r="G1440" s="187"/>
      <c r="H1440" s="187"/>
      <c r="I1440" s="187"/>
      <c r="J1440" s="187"/>
      <c r="K1440" s="187"/>
      <c r="L1440" s="187"/>
      <c r="M1440" s="187"/>
      <c r="N1440" s="187"/>
      <c r="O1440" s="187"/>
      <c r="P1440" s="187"/>
      <c r="Q1440" s="187"/>
      <c r="R1440" s="187"/>
      <c r="S1440" s="188"/>
    </row>
    <row r="1441" spans="2:19" ht="12.75">
      <c r="B1441" s="185"/>
      <c r="C1441" s="186"/>
      <c r="D1441" s="187"/>
      <c r="E1441" s="187"/>
      <c r="F1441" s="187"/>
      <c r="G1441" s="187"/>
      <c r="H1441" s="187"/>
      <c r="I1441" s="187"/>
      <c r="J1441" s="187"/>
      <c r="K1441" s="187"/>
      <c r="L1441" s="187"/>
      <c r="M1441" s="187"/>
      <c r="N1441" s="187"/>
      <c r="O1441" s="187"/>
      <c r="P1441" s="187"/>
      <c r="Q1441" s="187"/>
      <c r="R1441" s="187"/>
      <c r="S1441" s="188"/>
    </row>
    <row r="1442" spans="2:19" ht="12.75">
      <c r="B1442" s="185"/>
      <c r="C1442" s="186"/>
      <c r="D1442" s="187"/>
      <c r="E1442" s="187"/>
      <c r="F1442" s="187"/>
      <c r="G1442" s="187"/>
      <c r="H1442" s="187"/>
      <c r="I1442" s="187"/>
      <c r="J1442" s="187"/>
      <c r="K1442" s="187"/>
      <c r="L1442" s="187"/>
      <c r="M1442" s="187"/>
      <c r="N1442" s="187"/>
      <c r="O1442" s="187"/>
      <c r="P1442" s="187"/>
      <c r="Q1442" s="187"/>
      <c r="R1442" s="187"/>
      <c r="S1442" s="188"/>
    </row>
    <row r="1443" spans="2:19" ht="12.75">
      <c r="B1443" s="185"/>
      <c r="C1443" s="186"/>
      <c r="D1443" s="187"/>
      <c r="E1443" s="187"/>
      <c r="F1443" s="187"/>
      <c r="G1443" s="187"/>
      <c r="H1443" s="187"/>
      <c r="I1443" s="187"/>
      <c r="J1443" s="187"/>
      <c r="K1443" s="187"/>
      <c r="L1443" s="187"/>
      <c r="M1443" s="187"/>
      <c r="N1443" s="187"/>
      <c r="O1443" s="187"/>
      <c r="P1443" s="187"/>
      <c r="Q1443" s="187"/>
      <c r="R1443" s="187"/>
      <c r="S1443" s="188"/>
    </row>
    <row r="1444" spans="2:19" ht="12.75">
      <c r="B1444" s="185"/>
      <c r="C1444" s="186"/>
      <c r="D1444" s="187"/>
      <c r="E1444" s="187"/>
      <c r="F1444" s="187"/>
      <c r="G1444" s="187"/>
      <c r="H1444" s="187"/>
      <c r="I1444" s="187"/>
      <c r="J1444" s="187"/>
      <c r="K1444" s="187"/>
      <c r="L1444" s="187"/>
      <c r="M1444" s="187"/>
      <c r="N1444" s="187"/>
      <c r="O1444" s="187"/>
      <c r="P1444" s="187"/>
      <c r="Q1444" s="187"/>
      <c r="R1444" s="187"/>
      <c r="S1444" s="188"/>
    </row>
    <row r="1445" spans="2:19" ht="12.75">
      <c r="B1445" s="185"/>
      <c r="C1445" s="186"/>
      <c r="D1445" s="187"/>
      <c r="E1445" s="187"/>
      <c r="F1445" s="187"/>
      <c r="G1445" s="187"/>
      <c r="H1445" s="187"/>
      <c r="I1445" s="187"/>
      <c r="J1445" s="187"/>
      <c r="K1445" s="187"/>
      <c r="L1445" s="187"/>
      <c r="M1445" s="187"/>
      <c r="N1445" s="187"/>
      <c r="O1445" s="187"/>
      <c r="P1445" s="187"/>
      <c r="Q1445" s="187"/>
      <c r="R1445" s="187"/>
      <c r="S1445" s="188"/>
    </row>
    <row r="1446" spans="2:19" ht="12.75">
      <c r="B1446" s="185"/>
      <c r="C1446" s="186"/>
      <c r="D1446" s="187"/>
      <c r="E1446" s="187"/>
      <c r="F1446" s="187"/>
      <c r="G1446" s="187"/>
      <c r="H1446" s="187"/>
      <c r="I1446" s="187"/>
      <c r="J1446" s="187"/>
      <c r="K1446" s="187"/>
      <c r="L1446" s="187"/>
      <c r="M1446" s="187"/>
      <c r="N1446" s="187"/>
      <c r="O1446" s="187"/>
      <c r="P1446" s="187"/>
      <c r="Q1446" s="187"/>
      <c r="R1446" s="187"/>
      <c r="S1446" s="188"/>
    </row>
    <row r="1447" spans="2:19" ht="12.75">
      <c r="B1447" s="185"/>
      <c r="C1447" s="186"/>
      <c r="D1447" s="187"/>
      <c r="E1447" s="187"/>
      <c r="F1447" s="187"/>
      <c r="G1447" s="187"/>
      <c r="H1447" s="187"/>
      <c r="I1447" s="187"/>
      <c r="J1447" s="187"/>
      <c r="K1447" s="187"/>
      <c r="L1447" s="187"/>
      <c r="M1447" s="187"/>
      <c r="N1447" s="187"/>
      <c r="O1447" s="187"/>
      <c r="P1447" s="187"/>
      <c r="Q1447" s="187"/>
      <c r="R1447" s="187"/>
      <c r="S1447" s="188"/>
    </row>
    <row r="1448" spans="2:19" ht="12.75">
      <c r="B1448" s="185"/>
      <c r="C1448" s="186"/>
      <c r="D1448" s="187"/>
      <c r="E1448" s="187"/>
      <c r="F1448" s="187"/>
      <c r="G1448" s="187"/>
      <c r="H1448" s="187"/>
      <c r="I1448" s="187"/>
      <c r="J1448" s="187"/>
      <c r="K1448" s="187"/>
      <c r="L1448" s="187"/>
      <c r="M1448" s="187"/>
      <c r="N1448" s="187"/>
      <c r="O1448" s="187"/>
      <c r="P1448" s="187"/>
      <c r="Q1448" s="187"/>
      <c r="R1448" s="187"/>
      <c r="S1448" s="188"/>
    </row>
    <row r="1449" spans="2:19" ht="12.75">
      <c r="B1449" s="185"/>
      <c r="C1449" s="186"/>
      <c r="D1449" s="187"/>
      <c r="E1449" s="187"/>
      <c r="F1449" s="187"/>
      <c r="G1449" s="187"/>
      <c r="H1449" s="187"/>
      <c r="I1449" s="187"/>
      <c r="J1449" s="187"/>
      <c r="K1449" s="187"/>
      <c r="L1449" s="187"/>
      <c r="M1449" s="187"/>
      <c r="N1449" s="187"/>
      <c r="O1449" s="187"/>
      <c r="P1449" s="187"/>
      <c r="Q1449" s="187"/>
      <c r="R1449" s="187"/>
      <c r="S1449" s="188"/>
    </row>
    <row r="1450" spans="2:19" ht="12.75">
      <c r="B1450" s="185"/>
      <c r="C1450" s="186"/>
      <c r="D1450" s="187"/>
      <c r="E1450" s="187"/>
      <c r="F1450" s="187"/>
      <c r="G1450" s="187"/>
      <c r="H1450" s="187"/>
      <c r="I1450" s="187"/>
      <c r="J1450" s="187"/>
      <c r="K1450" s="187"/>
      <c r="L1450" s="187"/>
      <c r="M1450" s="187"/>
      <c r="N1450" s="187"/>
      <c r="O1450" s="187"/>
      <c r="P1450" s="187"/>
      <c r="Q1450" s="187"/>
      <c r="R1450" s="187"/>
      <c r="S1450" s="188"/>
    </row>
    <row r="1451" spans="2:19" ht="12.75">
      <c r="B1451" s="185"/>
      <c r="C1451" s="186"/>
      <c r="D1451" s="187"/>
      <c r="E1451" s="187"/>
      <c r="F1451" s="187"/>
      <c r="G1451" s="187"/>
      <c r="H1451" s="187"/>
      <c r="I1451" s="187"/>
      <c r="J1451" s="187"/>
      <c r="K1451" s="187"/>
      <c r="L1451" s="187"/>
      <c r="M1451" s="187"/>
      <c r="N1451" s="187"/>
      <c r="O1451" s="187"/>
      <c r="P1451" s="187"/>
      <c r="Q1451" s="187"/>
      <c r="R1451" s="187"/>
      <c r="S1451" s="188"/>
    </row>
    <row r="1452" spans="2:19" ht="12.75">
      <c r="B1452" s="185"/>
      <c r="C1452" s="186"/>
      <c r="D1452" s="187"/>
      <c r="E1452" s="187"/>
      <c r="F1452" s="187"/>
      <c r="G1452" s="187"/>
      <c r="H1452" s="187"/>
      <c r="I1452" s="187"/>
      <c r="J1452" s="187"/>
      <c r="K1452" s="187"/>
      <c r="L1452" s="187"/>
      <c r="M1452" s="187"/>
      <c r="N1452" s="187"/>
      <c r="O1452" s="187"/>
      <c r="P1452" s="187"/>
      <c r="Q1452" s="187"/>
      <c r="R1452" s="187"/>
      <c r="S1452" s="188"/>
    </row>
    <row r="1453" spans="2:19" ht="12.75">
      <c r="B1453" s="185"/>
      <c r="C1453" s="186"/>
      <c r="D1453" s="187"/>
      <c r="E1453" s="187"/>
      <c r="F1453" s="187"/>
      <c r="G1453" s="187"/>
      <c r="H1453" s="187"/>
      <c r="I1453" s="187"/>
      <c r="J1453" s="187"/>
      <c r="K1453" s="187"/>
      <c r="L1453" s="187"/>
      <c r="M1453" s="187"/>
      <c r="N1453" s="187"/>
      <c r="O1453" s="187"/>
      <c r="P1453" s="187"/>
      <c r="Q1453" s="187"/>
      <c r="R1453" s="187"/>
      <c r="S1453" s="188"/>
    </row>
    <row r="1454" spans="2:19" ht="12.75">
      <c r="B1454" s="185"/>
      <c r="C1454" s="186"/>
      <c r="D1454" s="187"/>
      <c r="E1454" s="187"/>
      <c r="F1454" s="187"/>
      <c r="G1454" s="187"/>
      <c r="H1454" s="187"/>
      <c r="I1454" s="187"/>
      <c r="J1454" s="187"/>
      <c r="K1454" s="187"/>
      <c r="L1454" s="187"/>
      <c r="M1454" s="187"/>
      <c r="N1454" s="187"/>
      <c r="O1454" s="187"/>
      <c r="P1454" s="187"/>
      <c r="Q1454" s="187"/>
      <c r="R1454" s="187"/>
      <c r="S1454" s="188"/>
    </row>
    <row r="1455" spans="2:19" ht="12.75">
      <c r="B1455" s="185"/>
      <c r="C1455" s="186"/>
      <c r="D1455" s="187"/>
      <c r="E1455" s="187"/>
      <c r="F1455" s="187"/>
      <c r="G1455" s="187"/>
      <c r="H1455" s="187"/>
      <c r="I1455" s="187"/>
      <c r="J1455" s="187"/>
      <c r="K1455" s="187"/>
      <c r="L1455" s="187"/>
      <c r="M1455" s="187"/>
      <c r="N1455" s="187"/>
      <c r="O1455" s="187"/>
      <c r="P1455" s="187"/>
      <c r="Q1455" s="187"/>
      <c r="R1455" s="187"/>
      <c r="S1455" s="188"/>
    </row>
    <row r="1456" spans="2:19" ht="12.75">
      <c r="B1456" s="185"/>
      <c r="C1456" s="186"/>
      <c r="D1456" s="187"/>
      <c r="E1456" s="187"/>
      <c r="F1456" s="187"/>
      <c r="G1456" s="187"/>
      <c r="H1456" s="187"/>
      <c r="I1456" s="187"/>
      <c r="J1456" s="187"/>
      <c r="K1456" s="187"/>
      <c r="L1456" s="187"/>
      <c r="M1456" s="187"/>
      <c r="N1456" s="187"/>
      <c r="O1456" s="187"/>
      <c r="P1456" s="187"/>
      <c r="Q1456" s="187"/>
      <c r="R1456" s="187"/>
      <c r="S1456" s="188"/>
    </row>
    <row r="1457" spans="2:19" ht="12.75">
      <c r="B1457" s="185"/>
      <c r="C1457" s="186"/>
      <c r="D1457" s="187"/>
      <c r="E1457" s="187"/>
      <c r="F1457" s="187"/>
      <c r="G1457" s="187"/>
      <c r="H1457" s="187"/>
      <c r="I1457" s="187"/>
      <c r="J1457" s="187"/>
      <c r="K1457" s="187"/>
      <c r="L1457" s="187"/>
      <c r="M1457" s="187"/>
      <c r="N1457" s="187"/>
      <c r="O1457" s="187"/>
      <c r="P1457" s="187"/>
      <c r="Q1457" s="187"/>
      <c r="R1457" s="187"/>
      <c r="S1457" s="188"/>
    </row>
    <row r="1458" spans="2:19" ht="12.75">
      <c r="B1458" s="185"/>
      <c r="C1458" s="186"/>
      <c r="D1458" s="187"/>
      <c r="E1458" s="187"/>
      <c r="F1458" s="187"/>
      <c r="G1458" s="187"/>
      <c r="H1458" s="187"/>
      <c r="I1458" s="187"/>
      <c r="J1458" s="187"/>
      <c r="K1458" s="187"/>
      <c r="L1458" s="187"/>
      <c r="M1458" s="187"/>
      <c r="N1458" s="187"/>
      <c r="O1458" s="187"/>
      <c r="P1458" s="187"/>
      <c r="Q1458" s="187"/>
      <c r="R1458" s="187"/>
      <c r="S1458" s="188"/>
    </row>
    <row r="1459" spans="2:19" ht="12.75">
      <c r="B1459" s="185"/>
      <c r="C1459" s="186"/>
      <c r="D1459" s="187"/>
      <c r="E1459" s="187"/>
      <c r="F1459" s="187"/>
      <c r="G1459" s="187"/>
      <c r="H1459" s="187"/>
      <c r="I1459" s="187"/>
      <c r="J1459" s="187"/>
      <c r="K1459" s="187"/>
      <c r="L1459" s="187"/>
      <c r="M1459" s="187"/>
      <c r="N1459" s="187"/>
      <c r="O1459" s="187"/>
      <c r="P1459" s="187"/>
      <c r="Q1459" s="187"/>
      <c r="R1459" s="187"/>
      <c r="S1459" s="188"/>
    </row>
    <row r="1460" spans="2:19" ht="12.75">
      <c r="B1460" s="185"/>
      <c r="C1460" s="186"/>
      <c r="D1460" s="187"/>
      <c r="E1460" s="187"/>
      <c r="F1460" s="187"/>
      <c r="G1460" s="187"/>
      <c r="H1460" s="187"/>
      <c r="I1460" s="187"/>
      <c r="J1460" s="187"/>
      <c r="K1460" s="187"/>
      <c r="L1460" s="187"/>
      <c r="M1460" s="187"/>
      <c r="N1460" s="187"/>
      <c r="O1460" s="187"/>
      <c r="P1460" s="187"/>
      <c r="Q1460" s="187"/>
      <c r="R1460" s="187"/>
      <c r="S1460" s="188"/>
    </row>
    <row r="1461" spans="2:19" ht="12.75">
      <c r="B1461" s="185"/>
      <c r="C1461" s="186"/>
      <c r="D1461" s="187"/>
      <c r="E1461" s="187"/>
      <c r="F1461" s="187"/>
      <c r="G1461" s="187"/>
      <c r="H1461" s="187"/>
      <c r="I1461" s="187"/>
      <c r="J1461" s="187"/>
      <c r="K1461" s="187"/>
      <c r="L1461" s="187"/>
      <c r="M1461" s="187"/>
      <c r="N1461" s="187"/>
      <c r="O1461" s="187"/>
      <c r="P1461" s="187"/>
      <c r="Q1461" s="187"/>
      <c r="R1461" s="187"/>
      <c r="S1461" s="188"/>
    </row>
    <row r="1462" spans="2:19" ht="12.75">
      <c r="B1462" s="185"/>
      <c r="C1462" s="186"/>
      <c r="D1462" s="187"/>
      <c r="E1462" s="187"/>
      <c r="F1462" s="187"/>
      <c r="G1462" s="187"/>
      <c r="H1462" s="187"/>
      <c r="I1462" s="187"/>
      <c r="J1462" s="187"/>
      <c r="K1462" s="187"/>
      <c r="L1462" s="187"/>
      <c r="M1462" s="187"/>
      <c r="N1462" s="187"/>
      <c r="O1462" s="187"/>
      <c r="P1462" s="187"/>
      <c r="Q1462" s="187"/>
      <c r="R1462" s="187"/>
      <c r="S1462" s="188"/>
    </row>
    <row r="1463" spans="2:19" ht="12.75">
      <c r="B1463" s="185"/>
      <c r="C1463" s="186"/>
      <c r="D1463" s="187"/>
      <c r="E1463" s="187"/>
      <c r="F1463" s="187"/>
      <c r="G1463" s="187"/>
      <c r="H1463" s="187"/>
      <c r="I1463" s="187"/>
      <c r="J1463" s="187"/>
      <c r="K1463" s="187"/>
      <c r="L1463" s="187"/>
      <c r="M1463" s="187"/>
      <c r="N1463" s="187"/>
      <c r="O1463" s="187"/>
      <c r="P1463" s="187"/>
      <c r="Q1463" s="187"/>
      <c r="R1463" s="187"/>
      <c r="S1463" s="188"/>
    </row>
    <row r="1464" spans="2:19" ht="12.75">
      <c r="B1464" s="185"/>
      <c r="C1464" s="186"/>
      <c r="D1464" s="187"/>
      <c r="E1464" s="187"/>
      <c r="F1464" s="187"/>
      <c r="G1464" s="187"/>
      <c r="H1464" s="187"/>
      <c r="I1464" s="187"/>
      <c r="J1464" s="187"/>
      <c r="K1464" s="187"/>
      <c r="L1464" s="187"/>
      <c r="M1464" s="187"/>
      <c r="N1464" s="187"/>
      <c r="O1464" s="187"/>
      <c r="P1464" s="187"/>
      <c r="Q1464" s="187"/>
      <c r="R1464" s="187"/>
      <c r="S1464" s="188"/>
    </row>
    <row r="1465" spans="2:19" ht="12.75">
      <c r="B1465" s="185"/>
      <c r="C1465" s="186"/>
      <c r="D1465" s="187"/>
      <c r="E1465" s="187"/>
      <c r="F1465" s="187"/>
      <c r="G1465" s="187"/>
      <c r="H1465" s="187"/>
      <c r="I1465" s="187"/>
      <c r="J1465" s="187"/>
      <c r="K1465" s="187"/>
      <c r="L1465" s="187"/>
      <c r="M1465" s="187"/>
      <c r="N1465" s="187"/>
      <c r="O1465" s="187"/>
      <c r="P1465" s="187"/>
      <c r="Q1465" s="187"/>
      <c r="R1465" s="187"/>
      <c r="S1465" s="188"/>
    </row>
    <row r="1466" spans="2:19" ht="12.75">
      <c r="B1466" s="185"/>
      <c r="C1466" s="186"/>
      <c r="D1466" s="187"/>
      <c r="E1466" s="187"/>
      <c r="F1466" s="187"/>
      <c r="G1466" s="187"/>
      <c r="H1466" s="187"/>
      <c r="I1466" s="187"/>
      <c r="J1466" s="187"/>
      <c r="K1466" s="187"/>
      <c r="L1466" s="187"/>
      <c r="M1466" s="187"/>
      <c r="N1466" s="187"/>
      <c r="O1466" s="187"/>
      <c r="P1466" s="187"/>
      <c r="Q1466" s="187"/>
      <c r="R1466" s="187"/>
      <c r="S1466" s="188"/>
    </row>
    <row r="1467" spans="2:19" ht="12.75">
      <c r="B1467" s="185"/>
      <c r="C1467" s="186"/>
      <c r="D1467" s="187"/>
      <c r="E1467" s="187"/>
      <c r="F1467" s="187"/>
      <c r="G1467" s="187"/>
      <c r="H1467" s="187"/>
      <c r="I1467" s="187"/>
      <c r="J1467" s="187"/>
      <c r="K1467" s="187"/>
      <c r="L1467" s="187"/>
      <c r="M1467" s="187"/>
      <c r="N1467" s="187"/>
      <c r="O1467" s="187"/>
      <c r="P1467" s="187"/>
      <c r="Q1467" s="187"/>
      <c r="R1467" s="187"/>
      <c r="S1467" s="188"/>
    </row>
    <row r="1468" spans="2:19" ht="12.75">
      <c r="B1468" s="185"/>
      <c r="C1468" s="186"/>
      <c r="D1468" s="187"/>
      <c r="E1468" s="187"/>
      <c r="F1468" s="187"/>
      <c r="G1468" s="187"/>
      <c r="H1468" s="187"/>
      <c r="I1468" s="187"/>
      <c r="J1468" s="187"/>
      <c r="K1468" s="187"/>
      <c r="L1468" s="187"/>
      <c r="M1468" s="187"/>
      <c r="N1468" s="187"/>
      <c r="O1468" s="187"/>
      <c r="P1468" s="187"/>
      <c r="Q1468" s="187"/>
      <c r="R1468" s="187"/>
      <c r="S1468" s="188"/>
    </row>
    <row r="1469" spans="2:19" ht="12.75">
      <c r="B1469" s="185"/>
      <c r="C1469" s="186"/>
      <c r="D1469" s="187"/>
      <c r="E1469" s="187"/>
      <c r="F1469" s="187"/>
      <c r="G1469" s="187"/>
      <c r="H1469" s="187"/>
      <c r="I1469" s="187"/>
      <c r="J1469" s="187"/>
      <c r="K1469" s="187"/>
      <c r="L1469" s="187"/>
      <c r="M1469" s="187"/>
      <c r="N1469" s="187"/>
      <c r="O1469" s="187"/>
      <c r="P1469" s="187"/>
      <c r="Q1469" s="187"/>
      <c r="R1469" s="187"/>
      <c r="S1469" s="188"/>
    </row>
    <row r="1470" spans="2:19" ht="12.75">
      <c r="B1470" s="185"/>
      <c r="C1470" s="186"/>
      <c r="D1470" s="187"/>
      <c r="E1470" s="187"/>
      <c r="F1470" s="187"/>
      <c r="G1470" s="187"/>
      <c r="H1470" s="187"/>
      <c r="I1470" s="187"/>
      <c r="J1470" s="187"/>
      <c r="K1470" s="187"/>
      <c r="L1470" s="187"/>
      <c r="M1470" s="187"/>
      <c r="N1470" s="187"/>
      <c r="O1470" s="187"/>
      <c r="P1470" s="187"/>
      <c r="Q1470" s="187"/>
      <c r="R1470" s="187"/>
      <c r="S1470" s="188"/>
    </row>
    <row r="1471" spans="2:19" ht="12.75">
      <c r="B1471" s="185"/>
      <c r="C1471" s="186"/>
      <c r="D1471" s="187"/>
      <c r="E1471" s="187"/>
      <c r="F1471" s="187"/>
      <c r="G1471" s="187"/>
      <c r="H1471" s="187"/>
      <c r="I1471" s="187"/>
      <c r="J1471" s="187"/>
      <c r="K1471" s="187"/>
      <c r="L1471" s="187"/>
      <c r="M1471" s="187"/>
      <c r="N1471" s="187"/>
      <c r="O1471" s="187"/>
      <c r="P1471" s="187"/>
      <c r="Q1471" s="187"/>
      <c r="R1471" s="187"/>
      <c r="S1471" s="188"/>
    </row>
    <row r="1472" spans="2:19" ht="12.75">
      <c r="B1472" s="185"/>
      <c r="C1472" s="186"/>
      <c r="D1472" s="187"/>
      <c r="E1472" s="187"/>
      <c r="F1472" s="187"/>
      <c r="G1472" s="187"/>
      <c r="H1472" s="187"/>
      <c r="I1472" s="187"/>
      <c r="J1472" s="187"/>
      <c r="K1472" s="187"/>
      <c r="L1472" s="187"/>
      <c r="M1472" s="187"/>
      <c r="N1472" s="187"/>
      <c r="O1472" s="187"/>
      <c r="P1472" s="187"/>
      <c r="Q1472" s="187"/>
      <c r="R1472" s="187"/>
      <c r="S1472" s="188"/>
    </row>
    <row r="1473" spans="2:19" ht="12.75">
      <c r="B1473" s="185"/>
      <c r="C1473" s="186"/>
      <c r="D1473" s="187"/>
      <c r="E1473" s="187"/>
      <c r="F1473" s="187"/>
      <c r="G1473" s="187"/>
      <c r="H1473" s="187"/>
      <c r="I1473" s="187"/>
      <c r="J1473" s="187"/>
      <c r="K1473" s="187"/>
      <c r="L1473" s="187"/>
      <c r="M1473" s="187"/>
      <c r="N1473" s="187"/>
      <c r="O1473" s="187"/>
      <c r="P1473" s="187"/>
      <c r="Q1473" s="187"/>
      <c r="R1473" s="187"/>
      <c r="S1473" s="188"/>
    </row>
    <row r="1474" spans="2:19" ht="12.75">
      <c r="B1474" s="185"/>
      <c r="C1474" s="186"/>
      <c r="D1474" s="187"/>
      <c r="E1474" s="187"/>
      <c r="F1474" s="187"/>
      <c r="G1474" s="187"/>
      <c r="H1474" s="187"/>
      <c r="I1474" s="187"/>
      <c r="J1474" s="187"/>
      <c r="K1474" s="187"/>
      <c r="L1474" s="187"/>
      <c r="M1474" s="187"/>
      <c r="N1474" s="187"/>
      <c r="O1474" s="187"/>
      <c r="P1474" s="187"/>
      <c r="Q1474" s="187"/>
      <c r="R1474" s="187"/>
      <c r="S1474" s="188"/>
    </row>
    <row r="1475" spans="2:19" ht="12.75">
      <c r="B1475" s="185"/>
      <c r="C1475" s="186"/>
      <c r="D1475" s="187"/>
      <c r="E1475" s="187"/>
      <c r="F1475" s="187"/>
      <c r="G1475" s="187"/>
      <c r="H1475" s="187"/>
      <c r="I1475" s="187"/>
      <c r="J1475" s="187"/>
      <c r="K1475" s="187"/>
      <c r="L1475" s="187"/>
      <c r="M1475" s="187"/>
      <c r="N1475" s="187"/>
      <c r="O1475" s="187"/>
      <c r="P1475" s="187"/>
      <c r="Q1475" s="187"/>
      <c r="R1475" s="187"/>
      <c r="S1475" s="188"/>
    </row>
    <row r="1476" spans="2:19" ht="12.75">
      <c r="B1476" s="185"/>
      <c r="C1476" s="186"/>
      <c r="D1476" s="187"/>
      <c r="E1476" s="187"/>
      <c r="F1476" s="187"/>
      <c r="G1476" s="187"/>
      <c r="H1476" s="187"/>
      <c r="I1476" s="187"/>
      <c r="J1476" s="187"/>
      <c r="K1476" s="187"/>
      <c r="L1476" s="187"/>
      <c r="M1476" s="187"/>
      <c r="N1476" s="187"/>
      <c r="O1476" s="187"/>
      <c r="P1476" s="187"/>
      <c r="Q1476" s="187"/>
      <c r="R1476" s="187"/>
      <c r="S1476" s="188"/>
    </row>
    <row r="1477" spans="2:19" ht="12.75">
      <c r="B1477" s="185"/>
      <c r="C1477" s="186"/>
      <c r="D1477" s="187"/>
      <c r="E1477" s="187"/>
      <c r="F1477" s="187"/>
      <c r="G1477" s="187"/>
      <c r="H1477" s="187"/>
      <c r="I1477" s="187"/>
      <c r="J1477" s="187"/>
      <c r="K1477" s="187"/>
      <c r="L1477" s="187"/>
      <c r="M1477" s="187"/>
      <c r="N1477" s="187"/>
      <c r="O1477" s="187"/>
      <c r="P1477" s="187"/>
      <c r="Q1477" s="187"/>
      <c r="R1477" s="187"/>
      <c r="S1477" s="188"/>
    </row>
    <row r="1478" spans="2:19" ht="12.75">
      <c r="B1478" s="185"/>
      <c r="C1478" s="186"/>
      <c r="D1478" s="187"/>
      <c r="E1478" s="187"/>
      <c r="F1478" s="187"/>
      <c r="G1478" s="187"/>
      <c r="H1478" s="187"/>
      <c r="I1478" s="187"/>
      <c r="J1478" s="187"/>
      <c r="K1478" s="187"/>
      <c r="L1478" s="187"/>
      <c r="M1478" s="187"/>
      <c r="N1478" s="187"/>
      <c r="O1478" s="187"/>
      <c r="P1478" s="187"/>
      <c r="Q1478" s="187"/>
      <c r="R1478" s="187"/>
      <c r="S1478" s="188"/>
    </row>
    <row r="1479" spans="2:19" ht="12.75">
      <c r="B1479" s="185"/>
      <c r="C1479" s="186"/>
      <c r="D1479" s="187"/>
      <c r="E1479" s="187"/>
      <c r="F1479" s="187"/>
      <c r="G1479" s="187"/>
      <c r="H1479" s="187"/>
      <c r="I1479" s="187"/>
      <c r="J1479" s="187"/>
      <c r="K1479" s="187"/>
      <c r="L1479" s="187"/>
      <c r="M1479" s="187"/>
      <c r="N1479" s="187"/>
      <c r="O1479" s="187"/>
      <c r="P1479" s="187"/>
      <c r="Q1479" s="187"/>
      <c r="R1479" s="187"/>
      <c r="S1479" s="188"/>
    </row>
    <row r="1480" spans="2:19" ht="12.75">
      <c r="B1480" s="185"/>
      <c r="C1480" s="186"/>
      <c r="D1480" s="187"/>
      <c r="E1480" s="187"/>
      <c r="F1480" s="187"/>
      <c r="G1480" s="187"/>
      <c r="H1480" s="187"/>
      <c r="I1480" s="187"/>
      <c r="J1480" s="187"/>
      <c r="K1480" s="187"/>
      <c r="L1480" s="187"/>
      <c r="M1480" s="187"/>
      <c r="N1480" s="187"/>
      <c r="O1480" s="187"/>
      <c r="P1480" s="187"/>
      <c r="Q1480" s="187"/>
      <c r="R1480" s="187"/>
      <c r="S1480" s="188"/>
    </row>
    <row r="1481" spans="2:19" ht="12.75">
      <c r="B1481" s="185"/>
      <c r="C1481" s="186"/>
      <c r="D1481" s="187"/>
      <c r="E1481" s="187"/>
      <c r="F1481" s="187"/>
      <c r="G1481" s="187"/>
      <c r="H1481" s="187"/>
      <c r="I1481" s="187"/>
      <c r="J1481" s="187"/>
      <c r="K1481" s="187"/>
      <c r="L1481" s="187"/>
      <c r="M1481" s="187"/>
      <c r="N1481" s="187"/>
      <c r="O1481" s="187"/>
      <c r="P1481" s="187"/>
      <c r="Q1481" s="187"/>
      <c r="R1481" s="187"/>
      <c r="S1481" s="188"/>
    </row>
    <row r="1482" spans="2:19" ht="12.75">
      <c r="B1482" s="185"/>
      <c r="C1482" s="186"/>
      <c r="D1482" s="187"/>
      <c r="E1482" s="187"/>
      <c r="F1482" s="187"/>
      <c r="G1482" s="187"/>
      <c r="H1482" s="187"/>
      <c r="I1482" s="187"/>
      <c r="J1482" s="187"/>
      <c r="K1482" s="187"/>
      <c r="L1482" s="187"/>
      <c r="M1482" s="187"/>
      <c r="N1482" s="187"/>
      <c r="O1482" s="187"/>
      <c r="P1482" s="187"/>
      <c r="Q1482" s="187"/>
      <c r="R1482" s="187"/>
      <c r="S1482" s="188"/>
    </row>
    <row r="1483" spans="2:19" ht="12.75">
      <c r="B1483" s="185"/>
      <c r="C1483" s="186"/>
      <c r="D1483" s="187"/>
      <c r="E1483" s="187"/>
      <c r="F1483" s="187"/>
      <c r="G1483" s="187"/>
      <c r="H1483" s="187"/>
      <c r="I1483" s="187"/>
      <c r="J1483" s="187"/>
      <c r="K1483" s="187"/>
      <c r="L1483" s="187"/>
      <c r="M1483" s="187"/>
      <c r="N1483" s="187"/>
      <c r="O1483" s="187"/>
      <c r="P1483" s="187"/>
      <c r="Q1483" s="187"/>
      <c r="R1483" s="187"/>
      <c r="S1483" s="188"/>
    </row>
    <row r="1484" spans="2:19" ht="12.75">
      <c r="B1484" s="185"/>
      <c r="C1484" s="186"/>
      <c r="D1484" s="187"/>
      <c r="E1484" s="187"/>
      <c r="F1484" s="187"/>
      <c r="G1484" s="187"/>
      <c r="H1484" s="187"/>
      <c r="I1484" s="187"/>
      <c r="J1484" s="187"/>
      <c r="K1484" s="187"/>
      <c r="L1484" s="187"/>
      <c r="M1484" s="187"/>
      <c r="N1484" s="187"/>
      <c r="O1484" s="187"/>
      <c r="P1484" s="187"/>
      <c r="Q1484" s="187"/>
      <c r="R1484" s="187"/>
      <c r="S1484" s="188"/>
    </row>
    <row r="1485" spans="2:19" ht="12.75">
      <c r="B1485" s="185"/>
      <c r="C1485" s="186"/>
      <c r="D1485" s="187"/>
      <c r="E1485" s="187"/>
      <c r="F1485" s="187"/>
      <c r="G1485" s="187"/>
      <c r="H1485" s="187"/>
      <c r="I1485" s="187"/>
      <c r="J1485" s="187"/>
      <c r="K1485" s="187"/>
      <c r="L1485" s="187"/>
      <c r="M1485" s="187"/>
      <c r="N1485" s="187"/>
      <c r="O1485" s="187"/>
      <c r="P1485" s="187"/>
      <c r="Q1485" s="187"/>
      <c r="R1485" s="187"/>
      <c r="S1485" s="188"/>
    </row>
    <row r="1486" spans="2:19" ht="12.75">
      <c r="B1486" s="185"/>
      <c r="C1486" s="186"/>
      <c r="D1486" s="187"/>
      <c r="E1486" s="187"/>
      <c r="F1486" s="187"/>
      <c r="G1486" s="187"/>
      <c r="H1486" s="187"/>
      <c r="I1486" s="187"/>
      <c r="J1486" s="187"/>
      <c r="K1486" s="187"/>
      <c r="L1486" s="187"/>
      <c r="M1486" s="187"/>
      <c r="N1486" s="187"/>
      <c r="O1486" s="187"/>
      <c r="P1486" s="187"/>
      <c r="Q1486" s="187"/>
      <c r="R1486" s="187"/>
      <c r="S1486" s="188"/>
    </row>
    <row r="1487" spans="2:19" ht="12.75">
      <c r="B1487" s="185"/>
      <c r="C1487" s="186"/>
      <c r="D1487" s="187"/>
      <c r="E1487" s="187"/>
      <c r="F1487" s="187"/>
      <c r="G1487" s="187"/>
      <c r="H1487" s="187"/>
      <c r="I1487" s="187"/>
      <c r="J1487" s="187"/>
      <c r="K1487" s="187"/>
      <c r="L1487" s="187"/>
      <c r="M1487" s="187"/>
      <c r="N1487" s="187"/>
      <c r="O1487" s="187"/>
      <c r="P1487" s="187"/>
      <c r="Q1487" s="187"/>
      <c r="R1487" s="187"/>
      <c r="S1487" s="188"/>
    </row>
    <row r="1488" spans="2:19" ht="12.75">
      <c r="B1488" s="185"/>
      <c r="C1488" s="186"/>
      <c r="D1488" s="187"/>
      <c r="E1488" s="187"/>
      <c r="F1488" s="187"/>
      <c r="G1488" s="187"/>
      <c r="H1488" s="187"/>
      <c r="I1488" s="187"/>
      <c r="J1488" s="187"/>
      <c r="K1488" s="187"/>
      <c r="L1488" s="187"/>
      <c r="M1488" s="187"/>
      <c r="N1488" s="187"/>
      <c r="O1488" s="187"/>
      <c r="P1488" s="187"/>
      <c r="Q1488" s="187"/>
      <c r="R1488" s="187"/>
      <c r="S1488" s="188"/>
    </row>
    <row r="1489" spans="2:19" ht="12.75">
      <c r="B1489" s="185"/>
      <c r="C1489" s="186"/>
      <c r="D1489" s="187"/>
      <c r="E1489" s="187"/>
      <c r="F1489" s="187"/>
      <c r="G1489" s="187"/>
      <c r="H1489" s="187"/>
      <c r="I1489" s="187"/>
      <c r="J1489" s="187"/>
      <c r="K1489" s="187"/>
      <c r="L1489" s="187"/>
      <c r="M1489" s="187"/>
      <c r="N1489" s="187"/>
      <c r="O1489" s="187"/>
      <c r="P1489" s="187"/>
      <c r="Q1489" s="187"/>
      <c r="R1489" s="187"/>
      <c r="S1489" s="188"/>
    </row>
    <row r="1490" spans="2:19" ht="12.75">
      <c r="B1490" s="185"/>
      <c r="C1490" s="186"/>
      <c r="D1490" s="187"/>
      <c r="E1490" s="187"/>
      <c r="F1490" s="187"/>
      <c r="G1490" s="187"/>
      <c r="H1490" s="187"/>
      <c r="I1490" s="187"/>
      <c r="J1490" s="187"/>
      <c r="K1490" s="187"/>
      <c r="L1490" s="187"/>
      <c r="M1490" s="187"/>
      <c r="N1490" s="187"/>
      <c r="O1490" s="187"/>
      <c r="P1490" s="187"/>
      <c r="Q1490" s="187"/>
      <c r="R1490" s="187"/>
      <c r="S1490" s="188"/>
    </row>
    <row r="1491" spans="2:19" ht="12.75">
      <c r="B1491" s="185"/>
      <c r="C1491" s="186"/>
      <c r="D1491" s="187"/>
      <c r="E1491" s="187"/>
      <c r="F1491" s="187"/>
      <c r="G1491" s="187"/>
      <c r="H1491" s="187"/>
      <c r="I1491" s="187"/>
      <c r="J1491" s="187"/>
      <c r="K1491" s="187"/>
      <c r="L1491" s="187"/>
      <c r="M1491" s="187"/>
      <c r="N1491" s="187"/>
      <c r="O1491" s="187"/>
      <c r="P1491" s="187"/>
      <c r="Q1491" s="187"/>
      <c r="R1491" s="187"/>
      <c r="S1491" s="188"/>
    </row>
    <row r="1492" spans="2:19" ht="12.75">
      <c r="B1492" s="185"/>
      <c r="C1492" s="186"/>
      <c r="D1492" s="187"/>
      <c r="E1492" s="187"/>
      <c r="F1492" s="187"/>
      <c r="G1492" s="187"/>
      <c r="H1492" s="187"/>
      <c r="I1492" s="187"/>
      <c r="J1492" s="187"/>
      <c r="K1492" s="187"/>
      <c r="L1492" s="187"/>
      <c r="M1492" s="187"/>
      <c r="N1492" s="187"/>
      <c r="O1492" s="187"/>
      <c r="P1492" s="187"/>
      <c r="Q1492" s="187"/>
      <c r="R1492" s="187"/>
      <c r="S1492" s="188"/>
    </row>
    <row r="1493" spans="2:19" ht="12.75">
      <c r="B1493" s="185"/>
      <c r="C1493" s="186"/>
      <c r="D1493" s="187"/>
      <c r="E1493" s="187"/>
      <c r="F1493" s="187"/>
      <c r="G1493" s="187"/>
      <c r="H1493" s="187"/>
      <c r="I1493" s="187"/>
      <c r="J1493" s="187"/>
      <c r="K1493" s="187"/>
      <c r="L1493" s="187"/>
      <c r="M1493" s="187"/>
      <c r="N1493" s="187"/>
      <c r="O1493" s="187"/>
      <c r="P1493" s="187"/>
      <c r="Q1493" s="187"/>
      <c r="R1493" s="187"/>
      <c r="S1493" s="188"/>
    </row>
    <row r="1494" spans="2:19" ht="12.75">
      <c r="B1494" s="185"/>
      <c r="C1494" s="186"/>
      <c r="D1494" s="187"/>
      <c r="E1494" s="187"/>
      <c r="F1494" s="187"/>
      <c r="G1494" s="187"/>
      <c r="H1494" s="187"/>
      <c r="I1494" s="187"/>
      <c r="J1494" s="187"/>
      <c r="K1494" s="187"/>
      <c r="L1494" s="187"/>
      <c r="M1494" s="187"/>
      <c r="N1494" s="187"/>
      <c r="O1494" s="187"/>
      <c r="P1494" s="187"/>
      <c r="Q1494" s="187"/>
      <c r="R1494" s="187"/>
      <c r="S1494" s="188"/>
    </row>
    <row r="1495" spans="2:19" ht="12.75">
      <c r="B1495" s="185"/>
      <c r="C1495" s="186"/>
      <c r="D1495" s="187"/>
      <c r="E1495" s="187"/>
      <c r="F1495" s="187"/>
      <c r="G1495" s="187"/>
      <c r="H1495" s="187"/>
      <c r="I1495" s="187"/>
      <c r="J1495" s="187"/>
      <c r="K1495" s="187"/>
      <c r="L1495" s="187"/>
      <c r="M1495" s="187"/>
      <c r="N1495" s="187"/>
      <c r="O1495" s="187"/>
      <c r="P1495" s="187"/>
      <c r="Q1495" s="187"/>
      <c r="R1495" s="187"/>
      <c r="S1495" s="188"/>
    </row>
    <row r="1496" spans="2:19" ht="12.75">
      <c r="B1496" s="185"/>
      <c r="C1496" s="186"/>
      <c r="D1496" s="187"/>
      <c r="E1496" s="187"/>
      <c r="F1496" s="187"/>
      <c r="G1496" s="187"/>
      <c r="H1496" s="187"/>
      <c r="I1496" s="187"/>
      <c r="J1496" s="187"/>
      <c r="K1496" s="187"/>
      <c r="L1496" s="187"/>
      <c r="M1496" s="187"/>
      <c r="N1496" s="187"/>
      <c r="O1496" s="187"/>
      <c r="P1496" s="187"/>
      <c r="Q1496" s="187"/>
      <c r="R1496" s="187"/>
      <c r="S1496" s="188"/>
    </row>
    <row r="1497" spans="2:19" ht="12.75">
      <c r="B1497" s="185"/>
      <c r="C1497" s="186"/>
      <c r="D1497" s="187"/>
      <c r="E1497" s="187"/>
      <c r="F1497" s="187"/>
      <c r="G1497" s="187"/>
      <c r="H1497" s="187"/>
      <c r="I1497" s="187"/>
      <c r="J1497" s="187"/>
      <c r="K1497" s="187"/>
      <c r="L1497" s="187"/>
      <c r="M1497" s="187"/>
      <c r="N1497" s="187"/>
      <c r="O1497" s="187"/>
      <c r="P1497" s="187"/>
      <c r="Q1497" s="187"/>
      <c r="R1497" s="187"/>
      <c r="S1497" s="188"/>
    </row>
    <row r="1498" spans="2:19" ht="12.75">
      <c r="B1498" s="185"/>
      <c r="C1498" s="186"/>
      <c r="D1498" s="187"/>
      <c r="E1498" s="187"/>
      <c r="F1498" s="187"/>
      <c r="G1498" s="187"/>
      <c r="H1498" s="187"/>
      <c r="I1498" s="187"/>
      <c r="J1498" s="187"/>
      <c r="K1498" s="187"/>
      <c r="L1498" s="187"/>
      <c r="M1498" s="187"/>
      <c r="N1498" s="187"/>
      <c r="O1498" s="187"/>
      <c r="P1498" s="187"/>
      <c r="Q1498" s="187"/>
      <c r="R1498" s="187"/>
      <c r="S1498" s="188"/>
    </row>
    <row r="1499" spans="2:19" ht="12.75">
      <c r="B1499" s="185"/>
      <c r="C1499" s="186"/>
      <c r="D1499" s="187"/>
      <c r="E1499" s="187"/>
      <c r="F1499" s="187"/>
      <c r="G1499" s="187"/>
      <c r="H1499" s="187"/>
      <c r="I1499" s="187"/>
      <c r="J1499" s="187"/>
      <c r="K1499" s="187"/>
      <c r="L1499" s="187"/>
      <c r="M1499" s="187"/>
      <c r="N1499" s="187"/>
      <c r="O1499" s="187"/>
      <c r="P1499" s="187"/>
      <c r="Q1499" s="187"/>
      <c r="R1499" s="187"/>
      <c r="S1499" s="188"/>
    </row>
    <row r="1500" spans="2:19" ht="12.75">
      <c r="B1500" s="185"/>
      <c r="C1500" s="186"/>
      <c r="D1500" s="187"/>
      <c r="E1500" s="187"/>
      <c r="F1500" s="187"/>
      <c r="G1500" s="187"/>
      <c r="H1500" s="187"/>
      <c r="I1500" s="187"/>
      <c r="J1500" s="187"/>
      <c r="K1500" s="187"/>
      <c r="L1500" s="187"/>
      <c r="M1500" s="187"/>
      <c r="N1500" s="187"/>
      <c r="O1500" s="187"/>
      <c r="P1500" s="187"/>
      <c r="Q1500" s="187"/>
      <c r="R1500" s="187"/>
      <c r="S1500" s="188"/>
    </row>
    <row r="1501" spans="2:19" ht="12.75">
      <c r="B1501" s="185"/>
      <c r="C1501" s="186"/>
      <c r="D1501" s="187"/>
      <c r="E1501" s="187"/>
      <c r="F1501" s="187"/>
      <c r="G1501" s="187"/>
      <c r="H1501" s="187"/>
      <c r="I1501" s="187"/>
      <c r="J1501" s="187"/>
      <c r="K1501" s="187"/>
      <c r="L1501" s="187"/>
      <c r="M1501" s="187"/>
      <c r="N1501" s="187"/>
      <c r="O1501" s="187"/>
      <c r="P1501" s="187"/>
      <c r="Q1501" s="187"/>
      <c r="R1501" s="187"/>
      <c r="S1501" s="188"/>
    </row>
    <row r="1502" spans="2:19" ht="12.75">
      <c r="B1502" s="185"/>
      <c r="C1502" s="186"/>
      <c r="D1502" s="187"/>
      <c r="E1502" s="187"/>
      <c r="F1502" s="187"/>
      <c r="G1502" s="187"/>
      <c r="H1502" s="187"/>
      <c r="I1502" s="187"/>
      <c r="J1502" s="187"/>
      <c r="K1502" s="187"/>
      <c r="L1502" s="187"/>
      <c r="M1502" s="187"/>
      <c r="N1502" s="187"/>
      <c r="O1502" s="187"/>
      <c r="P1502" s="187"/>
      <c r="Q1502" s="187"/>
      <c r="R1502" s="187"/>
      <c r="S1502" s="188"/>
    </row>
    <row r="1503" spans="2:19" ht="12.75">
      <c r="B1503" s="185"/>
      <c r="C1503" s="186"/>
      <c r="D1503" s="187"/>
      <c r="E1503" s="187"/>
      <c r="F1503" s="187"/>
      <c r="G1503" s="187"/>
      <c r="H1503" s="187"/>
      <c r="I1503" s="187"/>
      <c r="J1503" s="187"/>
      <c r="K1503" s="187"/>
      <c r="L1503" s="187"/>
      <c r="M1503" s="187"/>
      <c r="N1503" s="187"/>
      <c r="O1503" s="187"/>
      <c r="P1503" s="187"/>
      <c r="Q1503" s="187"/>
      <c r="R1503" s="187"/>
      <c r="S1503" s="188"/>
    </row>
    <row r="1504" spans="2:19" ht="12.75">
      <c r="B1504" s="185"/>
      <c r="C1504" s="186"/>
      <c r="D1504" s="187"/>
      <c r="E1504" s="187"/>
      <c r="F1504" s="187"/>
      <c r="G1504" s="187"/>
      <c r="H1504" s="187"/>
      <c r="I1504" s="187"/>
      <c r="J1504" s="187"/>
      <c r="K1504" s="187"/>
      <c r="L1504" s="187"/>
      <c r="M1504" s="187"/>
      <c r="N1504" s="187"/>
      <c r="O1504" s="187"/>
      <c r="P1504" s="187"/>
      <c r="Q1504" s="187"/>
      <c r="R1504" s="187"/>
      <c r="S1504" s="188"/>
    </row>
    <row r="1505" spans="2:19" ht="12.75">
      <c r="B1505" s="185"/>
      <c r="C1505" s="186"/>
      <c r="D1505" s="187"/>
      <c r="E1505" s="187"/>
      <c r="F1505" s="187"/>
      <c r="G1505" s="187"/>
      <c r="H1505" s="187"/>
      <c r="I1505" s="187"/>
      <c r="J1505" s="187"/>
      <c r="K1505" s="187"/>
      <c r="L1505" s="187"/>
      <c r="M1505" s="187"/>
      <c r="N1505" s="187"/>
      <c r="O1505" s="187"/>
      <c r="P1505" s="187"/>
      <c r="Q1505" s="187"/>
      <c r="R1505" s="187"/>
      <c r="S1505" s="188"/>
    </row>
    <row r="1506" spans="2:19" ht="12.75">
      <c r="B1506" s="185"/>
      <c r="C1506" s="186"/>
      <c r="D1506" s="187"/>
      <c r="E1506" s="187"/>
      <c r="F1506" s="187"/>
      <c r="G1506" s="187"/>
      <c r="H1506" s="187"/>
      <c r="I1506" s="187"/>
      <c r="J1506" s="187"/>
      <c r="K1506" s="187"/>
      <c r="L1506" s="187"/>
      <c r="M1506" s="187"/>
      <c r="N1506" s="187"/>
      <c r="O1506" s="187"/>
      <c r="P1506" s="187"/>
      <c r="Q1506" s="187"/>
      <c r="R1506" s="187"/>
      <c r="S1506" s="188"/>
    </row>
    <row r="1507" spans="2:19" ht="12.75">
      <c r="B1507" s="185"/>
      <c r="C1507" s="186"/>
      <c r="D1507" s="187"/>
      <c r="E1507" s="187"/>
      <c r="F1507" s="187"/>
      <c r="G1507" s="187"/>
      <c r="H1507" s="187"/>
      <c r="I1507" s="187"/>
      <c r="J1507" s="187"/>
      <c r="K1507" s="187"/>
      <c r="L1507" s="187"/>
      <c r="M1507" s="187"/>
      <c r="N1507" s="187"/>
      <c r="O1507" s="187"/>
      <c r="P1507" s="187"/>
      <c r="Q1507" s="187"/>
      <c r="R1507" s="187"/>
      <c r="S1507" s="188"/>
    </row>
    <row r="1508" spans="2:19" ht="12.75">
      <c r="B1508" s="185"/>
      <c r="C1508" s="186"/>
      <c r="D1508" s="187"/>
      <c r="E1508" s="187"/>
      <c r="F1508" s="187"/>
      <c r="G1508" s="187"/>
      <c r="H1508" s="187"/>
      <c r="I1508" s="187"/>
      <c r="J1508" s="187"/>
      <c r="K1508" s="187"/>
      <c r="L1508" s="187"/>
      <c r="M1508" s="187"/>
      <c r="N1508" s="187"/>
      <c r="O1508" s="187"/>
      <c r="P1508" s="187"/>
      <c r="Q1508" s="187"/>
      <c r="R1508" s="187"/>
      <c r="S1508" s="188"/>
    </row>
    <row r="1509" spans="2:19" ht="12.75">
      <c r="B1509" s="185"/>
      <c r="C1509" s="186"/>
      <c r="D1509" s="187"/>
      <c r="E1509" s="187"/>
      <c r="F1509" s="187"/>
      <c r="G1509" s="187"/>
      <c r="H1509" s="187"/>
      <c r="I1509" s="187"/>
      <c r="J1509" s="187"/>
      <c r="K1509" s="187"/>
      <c r="L1509" s="187"/>
      <c r="M1509" s="187"/>
      <c r="N1509" s="187"/>
      <c r="O1509" s="187"/>
      <c r="P1509" s="187"/>
      <c r="Q1509" s="187"/>
      <c r="R1509" s="187"/>
      <c r="S1509" s="188"/>
    </row>
    <row r="1510" spans="2:19" ht="12.75">
      <c r="B1510" s="185"/>
      <c r="C1510" s="186"/>
      <c r="D1510" s="187"/>
      <c r="E1510" s="187"/>
      <c r="F1510" s="187"/>
      <c r="G1510" s="187"/>
      <c r="H1510" s="187"/>
      <c r="I1510" s="187"/>
      <c r="J1510" s="187"/>
      <c r="K1510" s="187"/>
      <c r="L1510" s="187"/>
      <c r="M1510" s="187"/>
      <c r="N1510" s="187"/>
      <c r="O1510" s="187"/>
      <c r="P1510" s="187"/>
      <c r="Q1510" s="187"/>
      <c r="R1510" s="187"/>
      <c r="S1510" s="188"/>
    </row>
    <row r="1511" spans="2:19" ht="12.75">
      <c r="B1511" s="185"/>
      <c r="C1511" s="186"/>
      <c r="D1511" s="187"/>
      <c r="E1511" s="187"/>
      <c r="F1511" s="187"/>
      <c r="G1511" s="187"/>
      <c r="H1511" s="187"/>
      <c r="I1511" s="187"/>
      <c r="J1511" s="187"/>
      <c r="K1511" s="187"/>
      <c r="L1511" s="187"/>
      <c r="M1511" s="187"/>
      <c r="N1511" s="187"/>
      <c r="O1511" s="187"/>
      <c r="P1511" s="187"/>
      <c r="Q1511" s="187"/>
      <c r="R1511" s="187"/>
      <c r="S1511" s="188"/>
    </row>
    <row r="1512" spans="2:19" ht="12.75">
      <c r="B1512" s="185"/>
      <c r="C1512" s="186"/>
      <c r="D1512" s="187"/>
      <c r="E1512" s="187"/>
      <c r="F1512" s="187"/>
      <c r="G1512" s="187"/>
      <c r="H1512" s="187"/>
      <c r="I1512" s="187"/>
      <c r="J1512" s="187"/>
      <c r="K1512" s="187"/>
      <c r="L1512" s="187"/>
      <c r="M1512" s="187"/>
      <c r="N1512" s="187"/>
      <c r="O1512" s="187"/>
      <c r="P1512" s="187"/>
      <c r="Q1512" s="187"/>
      <c r="R1512" s="187"/>
      <c r="S1512" s="188"/>
    </row>
    <row r="1513" spans="2:19" ht="12.75">
      <c r="B1513" s="185"/>
      <c r="C1513" s="186"/>
      <c r="D1513" s="187"/>
      <c r="E1513" s="187"/>
      <c r="F1513" s="187"/>
      <c r="G1513" s="187"/>
      <c r="H1513" s="187"/>
      <c r="I1513" s="187"/>
      <c r="J1513" s="187"/>
      <c r="K1513" s="187"/>
      <c r="L1513" s="187"/>
      <c r="M1513" s="187"/>
      <c r="N1513" s="187"/>
      <c r="O1513" s="187"/>
      <c r="P1513" s="187"/>
      <c r="Q1513" s="187"/>
      <c r="R1513" s="187"/>
      <c r="S1513" s="188"/>
    </row>
    <row r="1514" spans="2:19" ht="12.75">
      <c r="B1514" s="185"/>
      <c r="C1514" s="186"/>
      <c r="D1514" s="187"/>
      <c r="E1514" s="187"/>
      <c r="F1514" s="187"/>
      <c r="G1514" s="187"/>
      <c r="H1514" s="187"/>
      <c r="I1514" s="187"/>
      <c r="J1514" s="187"/>
      <c r="K1514" s="187"/>
      <c r="L1514" s="187"/>
      <c r="M1514" s="187"/>
      <c r="N1514" s="187"/>
      <c r="O1514" s="187"/>
      <c r="P1514" s="187"/>
      <c r="Q1514" s="187"/>
      <c r="R1514" s="187"/>
      <c r="S1514" s="188"/>
    </row>
    <row r="1515" spans="2:19" ht="12.75">
      <c r="B1515" s="185"/>
      <c r="C1515" s="186"/>
      <c r="D1515" s="187"/>
      <c r="E1515" s="187"/>
      <c r="F1515" s="187"/>
      <c r="G1515" s="187"/>
      <c r="H1515" s="187"/>
      <c r="I1515" s="187"/>
      <c r="J1515" s="187"/>
      <c r="K1515" s="187"/>
      <c r="L1515" s="187"/>
      <c r="M1515" s="187"/>
      <c r="N1515" s="187"/>
      <c r="O1515" s="187"/>
      <c r="P1515" s="187"/>
      <c r="Q1515" s="187"/>
      <c r="R1515" s="187"/>
      <c r="S1515" s="188"/>
    </row>
    <row r="1516" spans="2:19" ht="12.75">
      <c r="B1516" s="185"/>
      <c r="C1516" s="186"/>
      <c r="D1516" s="187"/>
      <c r="E1516" s="187"/>
      <c r="F1516" s="187"/>
      <c r="G1516" s="187"/>
      <c r="H1516" s="187"/>
      <c r="I1516" s="187"/>
      <c r="J1516" s="187"/>
      <c r="K1516" s="187"/>
      <c r="L1516" s="187"/>
      <c r="M1516" s="187"/>
      <c r="N1516" s="187"/>
      <c r="O1516" s="187"/>
      <c r="P1516" s="187"/>
      <c r="Q1516" s="187"/>
      <c r="R1516" s="187"/>
      <c r="S1516" s="188"/>
    </row>
    <row r="1517" spans="2:19" ht="12.75">
      <c r="B1517" s="185"/>
      <c r="C1517" s="186"/>
      <c r="D1517" s="187"/>
      <c r="E1517" s="187"/>
      <c r="F1517" s="187"/>
      <c r="G1517" s="187"/>
      <c r="H1517" s="187"/>
      <c r="I1517" s="187"/>
      <c r="J1517" s="187"/>
      <c r="K1517" s="187"/>
      <c r="L1517" s="187"/>
      <c r="M1517" s="187"/>
      <c r="N1517" s="187"/>
      <c r="O1517" s="187"/>
      <c r="P1517" s="187"/>
      <c r="Q1517" s="187"/>
      <c r="R1517" s="187"/>
      <c r="S1517" s="188"/>
    </row>
    <row r="1518" spans="2:19" ht="12.75">
      <c r="B1518" s="185"/>
      <c r="C1518" s="186"/>
      <c r="D1518" s="187"/>
      <c r="E1518" s="187"/>
      <c r="F1518" s="187"/>
      <c r="G1518" s="187"/>
      <c r="H1518" s="187"/>
      <c r="I1518" s="187"/>
      <c r="J1518" s="187"/>
      <c r="K1518" s="187"/>
      <c r="L1518" s="187"/>
      <c r="M1518" s="187"/>
      <c r="N1518" s="187"/>
      <c r="O1518" s="187"/>
      <c r="P1518" s="187"/>
      <c r="Q1518" s="187"/>
      <c r="R1518" s="187"/>
      <c r="S1518" s="188"/>
    </row>
    <row r="1519" spans="2:19" ht="12.75">
      <c r="B1519" s="185"/>
      <c r="C1519" s="186"/>
      <c r="D1519" s="187"/>
      <c r="E1519" s="187"/>
      <c r="F1519" s="187"/>
      <c r="G1519" s="187"/>
      <c r="H1519" s="187"/>
      <c r="I1519" s="187"/>
      <c r="J1519" s="187"/>
      <c r="K1519" s="187"/>
      <c r="L1519" s="187"/>
      <c r="M1519" s="187"/>
      <c r="N1519" s="187"/>
      <c r="O1519" s="187"/>
      <c r="P1519" s="187"/>
      <c r="Q1519" s="187"/>
      <c r="R1519" s="187"/>
      <c r="S1519" s="188"/>
    </row>
    <row r="1520" spans="2:19" ht="12.75">
      <c r="B1520" s="185"/>
      <c r="C1520" s="186"/>
      <c r="D1520" s="187"/>
      <c r="E1520" s="187"/>
      <c r="F1520" s="187"/>
      <c r="G1520" s="187"/>
      <c r="H1520" s="187"/>
      <c r="I1520" s="187"/>
      <c r="J1520" s="187"/>
      <c r="K1520" s="187"/>
      <c r="L1520" s="187"/>
      <c r="M1520" s="187"/>
      <c r="N1520" s="187"/>
      <c r="O1520" s="187"/>
      <c r="P1520" s="187"/>
      <c r="Q1520" s="187"/>
      <c r="R1520" s="187"/>
      <c r="S1520" s="188"/>
    </row>
    <row r="1521" spans="2:19" ht="12.75">
      <c r="B1521" s="185"/>
      <c r="C1521" s="186"/>
      <c r="D1521" s="187"/>
      <c r="E1521" s="187"/>
      <c r="F1521" s="187"/>
      <c r="G1521" s="187"/>
      <c r="H1521" s="187"/>
      <c r="I1521" s="187"/>
      <c r="J1521" s="187"/>
      <c r="K1521" s="187"/>
      <c r="L1521" s="187"/>
      <c r="M1521" s="187"/>
      <c r="N1521" s="187"/>
      <c r="O1521" s="187"/>
      <c r="P1521" s="187"/>
      <c r="Q1521" s="187"/>
      <c r="R1521" s="187"/>
      <c r="S1521" s="188"/>
    </row>
    <row r="1522" spans="2:19" ht="12.75">
      <c r="B1522" s="185"/>
      <c r="C1522" s="186"/>
      <c r="D1522" s="187"/>
      <c r="E1522" s="187"/>
      <c r="F1522" s="187"/>
      <c r="G1522" s="187"/>
      <c r="H1522" s="187"/>
      <c r="I1522" s="187"/>
      <c r="J1522" s="187"/>
      <c r="K1522" s="187"/>
      <c r="L1522" s="187"/>
      <c r="M1522" s="187"/>
      <c r="N1522" s="187"/>
      <c r="O1522" s="187"/>
      <c r="P1522" s="187"/>
      <c r="Q1522" s="187"/>
      <c r="R1522" s="187"/>
      <c r="S1522" s="188"/>
    </row>
    <row r="1523" spans="2:19" ht="12.75">
      <c r="B1523" s="185"/>
      <c r="C1523" s="186"/>
      <c r="D1523" s="187"/>
      <c r="E1523" s="187"/>
      <c r="F1523" s="187"/>
      <c r="G1523" s="187"/>
      <c r="H1523" s="187"/>
      <c r="I1523" s="187"/>
      <c r="J1523" s="187"/>
      <c r="K1523" s="187"/>
      <c r="L1523" s="187"/>
      <c r="M1523" s="187"/>
      <c r="N1523" s="187"/>
      <c r="O1523" s="187"/>
      <c r="P1523" s="187"/>
      <c r="Q1523" s="187"/>
      <c r="R1523" s="187"/>
      <c r="S1523" s="188"/>
    </row>
    <row r="1524" spans="2:19" ht="12.75">
      <c r="B1524" s="185"/>
      <c r="C1524" s="186"/>
      <c r="D1524" s="187"/>
      <c r="E1524" s="187"/>
      <c r="F1524" s="187"/>
      <c r="G1524" s="187"/>
      <c r="H1524" s="187"/>
      <c r="I1524" s="187"/>
      <c r="J1524" s="187"/>
      <c r="K1524" s="187"/>
      <c r="L1524" s="187"/>
      <c r="M1524" s="187"/>
      <c r="N1524" s="187"/>
      <c r="O1524" s="187"/>
      <c r="P1524" s="187"/>
      <c r="Q1524" s="187"/>
      <c r="R1524" s="187"/>
      <c r="S1524" s="188"/>
    </row>
    <row r="1525" spans="2:19" ht="12.75">
      <c r="B1525" s="185"/>
      <c r="C1525" s="186"/>
      <c r="D1525" s="187"/>
      <c r="E1525" s="187"/>
      <c r="F1525" s="187"/>
      <c r="G1525" s="187"/>
      <c r="H1525" s="187"/>
      <c r="I1525" s="187"/>
      <c r="J1525" s="187"/>
      <c r="K1525" s="187"/>
      <c r="L1525" s="187"/>
      <c r="M1525" s="187"/>
      <c r="N1525" s="187"/>
      <c r="O1525" s="187"/>
      <c r="P1525" s="187"/>
      <c r="Q1525" s="187"/>
      <c r="R1525" s="187"/>
      <c r="S1525" s="188"/>
    </row>
    <row r="1526" spans="2:19" ht="12.75">
      <c r="B1526" s="185"/>
      <c r="C1526" s="186"/>
      <c r="D1526" s="187"/>
      <c r="E1526" s="187"/>
      <c r="F1526" s="187"/>
      <c r="G1526" s="187"/>
      <c r="H1526" s="187"/>
      <c r="I1526" s="187"/>
      <c r="J1526" s="187"/>
      <c r="K1526" s="187"/>
      <c r="L1526" s="187"/>
      <c r="M1526" s="187"/>
      <c r="N1526" s="187"/>
      <c r="O1526" s="187"/>
      <c r="P1526" s="187"/>
      <c r="Q1526" s="187"/>
      <c r="R1526" s="187"/>
      <c r="S1526" s="188"/>
    </row>
    <row r="1527" spans="2:19" ht="12.75">
      <c r="B1527" s="185"/>
      <c r="C1527" s="186"/>
      <c r="D1527" s="187"/>
      <c r="E1527" s="187"/>
      <c r="F1527" s="187"/>
      <c r="G1527" s="187"/>
      <c r="H1527" s="187"/>
      <c r="I1527" s="187"/>
      <c r="J1527" s="187"/>
      <c r="K1527" s="187"/>
      <c r="L1527" s="187"/>
      <c r="M1527" s="187"/>
      <c r="N1527" s="187"/>
      <c r="O1527" s="187"/>
      <c r="P1527" s="187"/>
      <c r="Q1527" s="187"/>
      <c r="R1527" s="187"/>
      <c r="S1527" s="188"/>
    </row>
    <row r="1528" spans="2:19" ht="12.75">
      <c r="B1528" s="185"/>
      <c r="C1528" s="186"/>
      <c r="D1528" s="187"/>
      <c r="E1528" s="187"/>
      <c r="F1528" s="187"/>
      <c r="G1528" s="187"/>
      <c r="H1528" s="187"/>
      <c r="I1528" s="187"/>
      <c r="J1528" s="187"/>
      <c r="K1528" s="187"/>
      <c r="L1528" s="187"/>
      <c r="M1528" s="187"/>
      <c r="N1528" s="187"/>
      <c r="O1528" s="187"/>
      <c r="P1528" s="187"/>
      <c r="Q1528" s="187"/>
      <c r="R1528" s="187"/>
      <c r="S1528" s="188"/>
    </row>
    <row r="1529" spans="2:19" ht="12.75">
      <c r="B1529" s="185"/>
      <c r="C1529" s="186"/>
      <c r="D1529" s="187"/>
      <c r="E1529" s="187"/>
      <c r="F1529" s="187"/>
      <c r="G1529" s="187"/>
      <c r="H1529" s="187"/>
      <c r="I1529" s="187"/>
      <c r="J1529" s="187"/>
      <c r="K1529" s="187"/>
      <c r="L1529" s="187"/>
      <c r="M1529" s="187"/>
      <c r="N1529" s="187"/>
      <c r="O1529" s="187"/>
      <c r="P1529" s="187"/>
      <c r="Q1529" s="187"/>
      <c r="R1529" s="187"/>
      <c r="S1529" s="188"/>
    </row>
    <row r="1530" spans="2:19" ht="12.75">
      <c r="B1530" s="185"/>
      <c r="C1530" s="186"/>
      <c r="D1530" s="187"/>
      <c r="E1530" s="187"/>
      <c r="F1530" s="187"/>
      <c r="G1530" s="187"/>
      <c r="H1530" s="187"/>
      <c r="I1530" s="187"/>
      <c r="J1530" s="187"/>
      <c r="K1530" s="187"/>
      <c r="L1530" s="187"/>
      <c r="M1530" s="187"/>
      <c r="N1530" s="187"/>
      <c r="O1530" s="187"/>
      <c r="P1530" s="187"/>
      <c r="Q1530" s="187"/>
      <c r="R1530" s="187"/>
      <c r="S1530" s="188"/>
    </row>
    <row r="1531" spans="2:19" ht="12.75">
      <c r="B1531" s="185"/>
      <c r="C1531" s="186"/>
      <c r="D1531" s="187"/>
      <c r="E1531" s="187"/>
      <c r="F1531" s="187"/>
      <c r="G1531" s="187"/>
      <c r="H1531" s="187"/>
      <c r="I1531" s="187"/>
      <c r="J1531" s="187"/>
      <c r="K1531" s="187"/>
      <c r="L1531" s="187"/>
      <c r="M1531" s="187"/>
      <c r="N1531" s="187"/>
      <c r="O1531" s="187"/>
      <c r="P1531" s="187"/>
      <c r="Q1531" s="187"/>
      <c r="R1531" s="187"/>
      <c r="S1531" s="188"/>
    </row>
    <row r="1532" spans="2:19" ht="12.75">
      <c r="B1532" s="185"/>
      <c r="C1532" s="186"/>
      <c r="D1532" s="187"/>
      <c r="E1532" s="187"/>
      <c r="F1532" s="187"/>
      <c r="G1532" s="187"/>
      <c r="H1532" s="187"/>
      <c r="I1532" s="187"/>
      <c r="J1532" s="187"/>
      <c r="K1532" s="187"/>
      <c r="L1532" s="187"/>
      <c r="M1532" s="187"/>
      <c r="N1532" s="187"/>
      <c r="O1532" s="187"/>
      <c r="P1532" s="187"/>
      <c r="Q1532" s="187"/>
      <c r="R1532" s="187"/>
      <c r="S1532" s="188"/>
    </row>
    <row r="1533" spans="2:19" ht="12.75">
      <c r="B1533" s="185"/>
      <c r="C1533" s="186"/>
      <c r="D1533" s="187"/>
      <c r="E1533" s="187"/>
      <c r="F1533" s="187"/>
      <c r="G1533" s="187"/>
      <c r="H1533" s="187"/>
      <c r="I1533" s="187"/>
      <c r="J1533" s="187"/>
      <c r="K1533" s="187"/>
      <c r="L1533" s="187"/>
      <c r="M1533" s="187"/>
      <c r="N1533" s="187"/>
      <c r="O1533" s="187"/>
      <c r="P1533" s="187"/>
      <c r="Q1533" s="187"/>
      <c r="R1533" s="187"/>
      <c r="S1533" s="188"/>
    </row>
    <row r="1534" spans="2:19" ht="12.75">
      <c r="B1534" s="185"/>
      <c r="C1534" s="186"/>
      <c r="D1534" s="187"/>
      <c r="E1534" s="187"/>
      <c r="F1534" s="187"/>
      <c r="G1534" s="187"/>
      <c r="H1534" s="187"/>
      <c r="I1534" s="187"/>
      <c r="J1534" s="187"/>
      <c r="K1534" s="187"/>
      <c r="L1534" s="187"/>
      <c r="M1534" s="187"/>
      <c r="N1534" s="187"/>
      <c r="O1534" s="187"/>
      <c r="P1534" s="187"/>
      <c r="Q1534" s="187"/>
      <c r="R1534" s="187"/>
      <c r="S1534" s="188"/>
    </row>
    <row r="1535" spans="2:19" ht="12.75">
      <c r="B1535" s="185"/>
      <c r="C1535" s="186"/>
      <c r="D1535" s="187"/>
      <c r="E1535" s="187"/>
      <c r="F1535" s="187"/>
      <c r="G1535" s="187"/>
      <c r="H1535" s="187"/>
      <c r="I1535" s="187"/>
      <c r="J1535" s="187"/>
      <c r="K1535" s="187"/>
      <c r="L1535" s="187"/>
      <c r="M1535" s="187"/>
      <c r="N1535" s="187"/>
      <c r="O1535" s="187"/>
      <c r="P1535" s="187"/>
      <c r="Q1535" s="187"/>
      <c r="R1535" s="187"/>
      <c r="S1535" s="188"/>
    </row>
    <row r="1536" spans="2:19" ht="12.75">
      <c r="B1536" s="185"/>
      <c r="C1536" s="186"/>
      <c r="D1536" s="187"/>
      <c r="E1536" s="187"/>
      <c r="F1536" s="187"/>
      <c r="G1536" s="187"/>
      <c r="H1536" s="187"/>
      <c r="I1536" s="187"/>
      <c r="J1536" s="187"/>
      <c r="K1536" s="187"/>
      <c r="L1536" s="187"/>
      <c r="M1536" s="187"/>
      <c r="N1536" s="187"/>
      <c r="O1536" s="187"/>
      <c r="P1536" s="187"/>
      <c r="Q1536" s="187"/>
      <c r="R1536" s="187"/>
      <c r="S1536" s="188"/>
    </row>
    <row r="1537" spans="2:19" ht="12.75">
      <c r="B1537" s="185"/>
      <c r="C1537" s="186"/>
      <c r="D1537" s="187"/>
      <c r="E1537" s="187"/>
      <c r="F1537" s="187"/>
      <c r="G1537" s="187"/>
      <c r="H1537" s="187"/>
      <c r="I1537" s="187"/>
      <c r="J1537" s="187"/>
      <c r="K1537" s="187"/>
      <c r="L1537" s="187"/>
      <c r="M1537" s="187"/>
      <c r="N1537" s="187"/>
      <c r="O1537" s="187"/>
      <c r="P1537" s="187"/>
      <c r="Q1537" s="187"/>
      <c r="R1537" s="187"/>
      <c r="S1537" s="188"/>
    </row>
    <row r="1538" spans="2:19" ht="12.75">
      <c r="B1538" s="185"/>
      <c r="C1538" s="186"/>
      <c r="D1538" s="187"/>
      <c r="E1538" s="187"/>
      <c r="F1538" s="187"/>
      <c r="G1538" s="187"/>
      <c r="H1538" s="187"/>
      <c r="I1538" s="187"/>
      <c r="J1538" s="187"/>
      <c r="K1538" s="187"/>
      <c r="L1538" s="187"/>
      <c r="M1538" s="187"/>
      <c r="N1538" s="187"/>
      <c r="O1538" s="187"/>
      <c r="P1538" s="187"/>
      <c r="Q1538" s="187"/>
      <c r="R1538" s="187"/>
      <c r="S1538" s="188"/>
    </row>
    <row r="1539" spans="2:19" ht="12.75">
      <c r="B1539" s="185"/>
      <c r="C1539" s="186"/>
      <c r="D1539" s="187"/>
      <c r="E1539" s="187"/>
      <c r="F1539" s="187"/>
      <c r="G1539" s="187"/>
      <c r="H1539" s="187"/>
      <c r="I1539" s="187"/>
      <c r="J1539" s="187"/>
      <c r="K1539" s="187"/>
      <c r="L1539" s="187"/>
      <c r="M1539" s="187"/>
      <c r="N1539" s="187"/>
      <c r="O1539" s="187"/>
      <c r="P1539" s="187"/>
      <c r="Q1539" s="187"/>
      <c r="R1539" s="187"/>
      <c r="S1539" s="188"/>
    </row>
    <row r="1540" spans="2:19" ht="12.75">
      <c r="B1540" s="185"/>
      <c r="C1540" s="186"/>
      <c r="D1540" s="187"/>
      <c r="E1540" s="187"/>
      <c r="F1540" s="187"/>
      <c r="G1540" s="187"/>
      <c r="H1540" s="187"/>
      <c r="I1540" s="187"/>
      <c r="J1540" s="187"/>
      <c r="K1540" s="187"/>
      <c r="L1540" s="187"/>
      <c r="M1540" s="187"/>
      <c r="N1540" s="187"/>
      <c r="O1540" s="187"/>
      <c r="P1540" s="187"/>
      <c r="Q1540" s="187"/>
      <c r="R1540" s="187"/>
      <c r="S1540" s="188"/>
    </row>
    <row r="1541" spans="2:19" ht="12.75">
      <c r="B1541" s="185"/>
      <c r="C1541" s="186"/>
      <c r="D1541" s="187"/>
      <c r="E1541" s="187"/>
      <c r="F1541" s="187"/>
      <c r="G1541" s="187"/>
      <c r="H1541" s="187"/>
      <c r="I1541" s="187"/>
      <c r="J1541" s="187"/>
      <c r="K1541" s="187"/>
      <c r="L1541" s="187"/>
      <c r="M1541" s="187"/>
      <c r="N1541" s="187"/>
      <c r="O1541" s="187"/>
      <c r="P1541" s="187"/>
      <c r="Q1541" s="187"/>
      <c r="R1541" s="187"/>
      <c r="S1541" s="188"/>
    </row>
    <row r="1542" spans="2:19" ht="12.75">
      <c r="B1542" s="185"/>
      <c r="C1542" s="186"/>
      <c r="D1542" s="187"/>
      <c r="E1542" s="187"/>
      <c r="F1542" s="187"/>
      <c r="G1542" s="187"/>
      <c r="H1542" s="187"/>
      <c r="I1542" s="187"/>
      <c r="J1542" s="187"/>
      <c r="K1542" s="187"/>
      <c r="L1542" s="187"/>
      <c r="M1542" s="187"/>
      <c r="N1542" s="187"/>
      <c r="O1542" s="187"/>
      <c r="P1542" s="187"/>
      <c r="Q1542" s="187"/>
      <c r="R1542" s="187"/>
      <c r="S1542" s="188"/>
    </row>
    <row r="1543" spans="2:19" ht="12.75">
      <c r="B1543" s="185"/>
      <c r="C1543" s="186"/>
      <c r="D1543" s="187"/>
      <c r="E1543" s="187"/>
      <c r="F1543" s="187"/>
      <c r="G1543" s="187"/>
      <c r="H1543" s="187"/>
      <c r="I1543" s="187"/>
      <c r="J1543" s="187"/>
      <c r="K1543" s="187"/>
      <c r="L1543" s="187"/>
      <c r="M1543" s="187"/>
      <c r="N1543" s="187"/>
      <c r="O1543" s="187"/>
      <c r="P1543" s="187"/>
      <c r="Q1543" s="187"/>
      <c r="R1543" s="187"/>
      <c r="S1543" s="188"/>
    </row>
    <row r="1544" spans="2:19" ht="12.75">
      <c r="B1544" s="185"/>
      <c r="C1544" s="186"/>
      <c r="D1544" s="187"/>
      <c r="E1544" s="187"/>
      <c r="F1544" s="187"/>
      <c r="G1544" s="187"/>
      <c r="H1544" s="187"/>
      <c r="I1544" s="187"/>
      <c r="J1544" s="187"/>
      <c r="K1544" s="187"/>
      <c r="L1544" s="187"/>
      <c r="M1544" s="187"/>
      <c r="N1544" s="187"/>
      <c r="O1544" s="187"/>
      <c r="P1544" s="187"/>
      <c r="Q1544" s="187"/>
      <c r="R1544" s="187"/>
      <c r="S1544" s="188"/>
    </row>
    <row r="1545" spans="2:19" ht="12.75">
      <c r="B1545" s="185"/>
      <c r="C1545" s="186"/>
      <c r="D1545" s="187"/>
      <c r="E1545" s="187"/>
      <c r="F1545" s="187"/>
      <c r="G1545" s="187"/>
      <c r="H1545" s="187"/>
      <c r="I1545" s="187"/>
      <c r="J1545" s="187"/>
      <c r="K1545" s="187"/>
      <c r="L1545" s="187"/>
      <c r="M1545" s="187"/>
      <c r="N1545" s="187"/>
      <c r="O1545" s="187"/>
      <c r="P1545" s="187"/>
      <c r="Q1545" s="187"/>
      <c r="R1545" s="187"/>
      <c r="S1545" s="188"/>
    </row>
    <row r="1546" spans="2:19" ht="12.75">
      <c r="B1546" s="185"/>
      <c r="C1546" s="186"/>
      <c r="D1546" s="187"/>
      <c r="E1546" s="187"/>
      <c r="F1546" s="187"/>
      <c r="G1546" s="187"/>
      <c r="H1546" s="187"/>
      <c r="I1546" s="187"/>
      <c r="J1546" s="187"/>
      <c r="K1546" s="187"/>
      <c r="L1546" s="187"/>
      <c r="M1546" s="187"/>
      <c r="N1546" s="187"/>
      <c r="O1546" s="187"/>
      <c r="P1546" s="187"/>
      <c r="Q1546" s="187"/>
      <c r="R1546" s="187"/>
      <c r="S1546" s="188"/>
    </row>
    <row r="1547" spans="2:19" ht="12.75">
      <c r="B1547" s="185"/>
      <c r="C1547" s="186"/>
      <c r="D1547" s="187"/>
      <c r="E1547" s="187"/>
      <c r="F1547" s="187"/>
      <c r="G1547" s="187"/>
      <c r="H1547" s="187"/>
      <c r="I1547" s="187"/>
      <c r="J1547" s="187"/>
      <c r="K1547" s="187"/>
      <c r="L1547" s="187"/>
      <c r="M1547" s="187"/>
      <c r="N1547" s="187"/>
      <c r="O1547" s="187"/>
      <c r="P1547" s="187"/>
      <c r="Q1547" s="187"/>
      <c r="R1547" s="187"/>
      <c r="S1547" s="188"/>
    </row>
    <row r="1548" spans="2:19" ht="12.75">
      <c r="B1548" s="185"/>
      <c r="C1548" s="186"/>
      <c r="D1548" s="187"/>
      <c r="E1548" s="187"/>
      <c r="F1548" s="187"/>
      <c r="G1548" s="187"/>
      <c r="H1548" s="187"/>
      <c r="I1548" s="187"/>
      <c r="J1548" s="187"/>
      <c r="K1548" s="187"/>
      <c r="L1548" s="187"/>
      <c r="M1548" s="187"/>
      <c r="N1548" s="187"/>
      <c r="O1548" s="187"/>
      <c r="P1548" s="187"/>
      <c r="Q1548" s="187"/>
      <c r="R1548" s="187"/>
      <c r="S1548" s="188"/>
    </row>
    <row r="1549" spans="2:19" ht="12.75">
      <c r="B1549" s="185"/>
      <c r="C1549" s="186"/>
      <c r="D1549" s="187"/>
      <c r="E1549" s="187"/>
      <c r="F1549" s="187"/>
      <c r="G1549" s="187"/>
      <c r="H1549" s="187"/>
      <c r="I1549" s="187"/>
      <c r="J1549" s="187"/>
      <c r="K1549" s="187"/>
      <c r="L1549" s="187"/>
      <c r="M1549" s="187"/>
      <c r="N1549" s="187"/>
      <c r="O1549" s="187"/>
      <c r="P1549" s="187"/>
      <c r="Q1549" s="187"/>
      <c r="R1549" s="187"/>
      <c r="S1549" s="188"/>
    </row>
    <row r="1550" spans="2:19" ht="12.75">
      <c r="B1550" s="185"/>
      <c r="C1550" s="186"/>
      <c r="D1550" s="187"/>
      <c r="E1550" s="187"/>
      <c r="F1550" s="187"/>
      <c r="G1550" s="187"/>
      <c r="H1550" s="187"/>
      <c r="I1550" s="187"/>
      <c r="J1550" s="187"/>
      <c r="K1550" s="187"/>
      <c r="L1550" s="187"/>
      <c r="M1550" s="187"/>
      <c r="N1550" s="187"/>
      <c r="O1550" s="187"/>
      <c r="P1550" s="187"/>
      <c r="Q1550" s="187"/>
      <c r="R1550" s="187"/>
      <c r="S1550" s="188"/>
    </row>
    <row r="1551" spans="2:19" ht="12.75">
      <c r="B1551" s="185"/>
      <c r="C1551" s="186"/>
      <c r="D1551" s="187"/>
      <c r="E1551" s="187"/>
      <c r="F1551" s="187"/>
      <c r="G1551" s="187"/>
      <c r="H1551" s="187"/>
      <c r="I1551" s="187"/>
      <c r="J1551" s="187"/>
      <c r="K1551" s="187"/>
      <c r="L1551" s="187"/>
      <c r="M1551" s="187"/>
      <c r="N1551" s="187"/>
      <c r="O1551" s="187"/>
      <c r="P1551" s="187"/>
      <c r="Q1551" s="187"/>
      <c r="R1551" s="187"/>
      <c r="S1551" s="188"/>
    </row>
    <row r="1552" spans="2:19" ht="12.75">
      <c r="B1552" s="185"/>
      <c r="C1552" s="186"/>
      <c r="D1552" s="187"/>
      <c r="E1552" s="187"/>
      <c r="F1552" s="187"/>
      <c r="G1552" s="187"/>
      <c r="H1552" s="187"/>
      <c r="I1552" s="187"/>
      <c r="J1552" s="187"/>
      <c r="K1552" s="187"/>
      <c r="L1552" s="187"/>
      <c r="M1552" s="187"/>
      <c r="N1552" s="187"/>
      <c r="O1552" s="187"/>
      <c r="P1552" s="187"/>
      <c r="Q1552" s="187"/>
      <c r="R1552" s="187"/>
      <c r="S1552" s="188"/>
    </row>
    <row r="1553" spans="2:19" ht="12.75">
      <c r="B1553" s="185"/>
      <c r="C1553" s="186"/>
      <c r="D1553" s="187"/>
      <c r="E1553" s="187"/>
      <c r="F1553" s="187"/>
      <c r="G1553" s="187"/>
      <c r="H1553" s="187"/>
      <c r="I1553" s="187"/>
      <c r="J1553" s="187"/>
      <c r="K1553" s="187"/>
      <c r="L1553" s="187"/>
      <c r="M1553" s="187"/>
      <c r="N1553" s="187"/>
      <c r="O1553" s="187"/>
      <c r="P1553" s="187"/>
      <c r="Q1553" s="187"/>
      <c r="R1553" s="187"/>
      <c r="S1553" s="188"/>
    </row>
    <row r="1554" spans="2:19" ht="12.75">
      <c r="B1554" s="185"/>
      <c r="C1554" s="186"/>
      <c r="D1554" s="187"/>
      <c r="E1554" s="187"/>
      <c r="F1554" s="187"/>
      <c r="G1554" s="187"/>
      <c r="H1554" s="187"/>
      <c r="I1554" s="187"/>
      <c r="J1554" s="187"/>
      <c r="K1554" s="187"/>
      <c r="L1554" s="187"/>
      <c r="M1554" s="187"/>
      <c r="N1554" s="187"/>
      <c r="O1554" s="187"/>
      <c r="P1554" s="187"/>
      <c r="Q1554" s="187"/>
      <c r="R1554" s="187"/>
      <c r="S1554" s="188"/>
    </row>
    <row r="1555" spans="2:19" ht="12.75">
      <c r="B1555" s="185"/>
      <c r="C1555" s="186"/>
      <c r="D1555" s="187"/>
      <c r="E1555" s="187"/>
      <c r="F1555" s="187"/>
      <c r="G1555" s="187"/>
      <c r="H1555" s="187"/>
      <c r="I1555" s="187"/>
      <c r="J1555" s="187"/>
      <c r="K1555" s="187"/>
      <c r="L1555" s="187"/>
      <c r="M1555" s="187"/>
      <c r="N1555" s="187"/>
      <c r="O1555" s="187"/>
      <c r="P1555" s="187"/>
      <c r="Q1555" s="187"/>
      <c r="R1555" s="187"/>
      <c r="S1555" s="188"/>
    </row>
    <row r="1556" spans="2:19" ht="12.75">
      <c r="B1556" s="185"/>
      <c r="C1556" s="186"/>
      <c r="D1556" s="187"/>
      <c r="E1556" s="187"/>
      <c r="F1556" s="187"/>
      <c r="G1556" s="187"/>
      <c r="H1556" s="187"/>
      <c r="I1556" s="187"/>
      <c r="J1556" s="187"/>
      <c r="K1556" s="187"/>
      <c r="L1556" s="187"/>
      <c r="M1556" s="187"/>
      <c r="N1556" s="187"/>
      <c r="O1556" s="187"/>
      <c r="P1556" s="187"/>
      <c r="Q1556" s="187"/>
      <c r="R1556" s="187"/>
      <c r="S1556" s="188"/>
    </row>
    <row r="1557" spans="2:19" ht="12.75">
      <c r="B1557" s="185"/>
      <c r="C1557" s="186"/>
      <c r="D1557" s="187"/>
      <c r="E1557" s="187"/>
      <c r="F1557" s="187"/>
      <c r="G1557" s="187"/>
      <c r="H1557" s="187"/>
      <c r="I1557" s="187"/>
      <c r="J1557" s="187"/>
      <c r="K1557" s="187"/>
      <c r="L1557" s="187"/>
      <c r="M1557" s="187"/>
      <c r="N1557" s="187"/>
      <c r="O1557" s="187"/>
      <c r="P1557" s="187"/>
      <c r="Q1557" s="187"/>
      <c r="R1557" s="187"/>
      <c r="S1557" s="188"/>
    </row>
    <row r="1558" spans="2:19" ht="12.75">
      <c r="B1558" s="185"/>
      <c r="C1558" s="186"/>
      <c r="D1558" s="187"/>
      <c r="E1558" s="187"/>
      <c r="F1558" s="187"/>
      <c r="G1558" s="187"/>
      <c r="H1558" s="187"/>
      <c r="I1558" s="187"/>
      <c r="J1558" s="187"/>
      <c r="K1558" s="187"/>
      <c r="L1558" s="187"/>
      <c r="M1558" s="187"/>
      <c r="N1558" s="187"/>
      <c r="O1558" s="187"/>
      <c r="P1558" s="187"/>
      <c r="Q1558" s="187"/>
      <c r="R1558" s="187"/>
      <c r="S1558" s="188"/>
    </row>
    <row r="1559" spans="2:19" ht="12.75">
      <c r="B1559" s="185"/>
      <c r="C1559" s="186"/>
      <c r="D1559" s="187"/>
      <c r="E1559" s="187"/>
      <c r="F1559" s="187"/>
      <c r="G1559" s="187"/>
      <c r="H1559" s="187"/>
      <c r="I1559" s="187"/>
      <c r="J1559" s="187"/>
      <c r="K1559" s="187"/>
      <c r="L1559" s="187"/>
      <c r="M1559" s="187"/>
      <c r="N1559" s="187"/>
      <c r="O1559" s="187"/>
      <c r="P1559" s="187"/>
      <c r="Q1559" s="187"/>
      <c r="R1559" s="187"/>
      <c r="S1559" s="188"/>
    </row>
    <row r="1560" spans="2:19" ht="12.75">
      <c r="B1560" s="185"/>
      <c r="C1560" s="186"/>
      <c r="D1560" s="187"/>
      <c r="E1560" s="187"/>
      <c r="F1560" s="187"/>
      <c r="G1560" s="187"/>
      <c r="H1560" s="187"/>
      <c r="I1560" s="187"/>
      <c r="J1560" s="187"/>
      <c r="K1560" s="187"/>
      <c r="L1560" s="187"/>
      <c r="M1560" s="187"/>
      <c r="N1560" s="187"/>
      <c r="O1560" s="187"/>
      <c r="P1560" s="187"/>
      <c r="Q1560" s="187"/>
      <c r="R1560" s="187"/>
      <c r="S1560" s="188"/>
    </row>
    <row r="1561" spans="2:19" ht="12.75">
      <c r="B1561" s="185"/>
      <c r="C1561" s="186"/>
      <c r="D1561" s="187"/>
      <c r="E1561" s="187"/>
      <c r="F1561" s="187"/>
      <c r="G1561" s="187"/>
      <c r="H1561" s="187"/>
      <c r="I1561" s="187"/>
      <c r="J1561" s="187"/>
      <c r="K1561" s="187"/>
      <c r="L1561" s="187"/>
      <c r="M1561" s="187"/>
      <c r="N1561" s="187"/>
      <c r="O1561" s="187"/>
      <c r="P1561" s="187"/>
      <c r="Q1561" s="187"/>
      <c r="R1561" s="187"/>
      <c r="S1561" s="188"/>
    </row>
    <row r="1562" spans="2:19" ht="12.75">
      <c r="B1562" s="185"/>
      <c r="C1562" s="186"/>
      <c r="D1562" s="187"/>
      <c r="E1562" s="187"/>
      <c r="F1562" s="187"/>
      <c r="G1562" s="187"/>
      <c r="H1562" s="187"/>
      <c r="I1562" s="187"/>
      <c r="J1562" s="187"/>
      <c r="K1562" s="187"/>
      <c r="L1562" s="187"/>
      <c r="M1562" s="187"/>
      <c r="N1562" s="187"/>
      <c r="O1562" s="187"/>
      <c r="P1562" s="187"/>
      <c r="Q1562" s="187"/>
      <c r="R1562" s="187"/>
      <c r="S1562" s="188"/>
    </row>
    <row r="1563" spans="2:19" ht="12.75">
      <c r="B1563" s="185"/>
      <c r="C1563" s="186"/>
      <c r="D1563" s="187"/>
      <c r="E1563" s="187"/>
      <c r="F1563" s="187"/>
      <c r="G1563" s="187"/>
      <c r="H1563" s="187"/>
      <c r="I1563" s="187"/>
      <c r="J1563" s="187"/>
      <c r="K1563" s="187"/>
      <c r="L1563" s="187"/>
      <c r="M1563" s="187"/>
      <c r="N1563" s="187"/>
      <c r="O1563" s="187"/>
      <c r="P1563" s="187"/>
      <c r="Q1563" s="187"/>
      <c r="R1563" s="187"/>
      <c r="S1563" s="188"/>
    </row>
    <row r="1564" spans="2:19" ht="12.75">
      <c r="B1564" s="185"/>
      <c r="C1564" s="186"/>
      <c r="D1564" s="187"/>
      <c r="E1564" s="187"/>
      <c r="F1564" s="187"/>
      <c r="G1564" s="187"/>
      <c r="H1564" s="187"/>
      <c r="I1564" s="187"/>
      <c r="J1564" s="187"/>
      <c r="K1564" s="187"/>
      <c r="L1564" s="187"/>
      <c r="M1564" s="187"/>
      <c r="N1564" s="187"/>
      <c r="O1564" s="187"/>
      <c r="P1564" s="187"/>
      <c r="Q1564" s="187"/>
      <c r="R1564" s="187"/>
      <c r="S1564" s="188"/>
    </row>
    <row r="1565" spans="2:19" ht="12.75">
      <c r="B1565" s="185"/>
      <c r="C1565" s="186"/>
      <c r="D1565" s="187"/>
      <c r="E1565" s="187"/>
      <c r="F1565" s="187"/>
      <c r="G1565" s="187"/>
      <c r="H1565" s="187"/>
      <c r="I1565" s="187"/>
      <c r="J1565" s="187"/>
      <c r="K1565" s="187"/>
      <c r="L1565" s="187"/>
      <c r="M1565" s="187"/>
      <c r="N1565" s="187"/>
      <c r="O1565" s="187"/>
      <c r="P1565" s="187"/>
      <c r="Q1565" s="187"/>
      <c r="R1565" s="187"/>
      <c r="S1565" s="188"/>
    </row>
    <row r="1566" spans="2:19" ht="12.75">
      <c r="B1566" s="185"/>
      <c r="C1566" s="186"/>
      <c r="D1566" s="187"/>
      <c r="E1566" s="187"/>
      <c r="F1566" s="187"/>
      <c r="G1566" s="187"/>
      <c r="H1566" s="187"/>
      <c r="I1566" s="187"/>
      <c r="J1566" s="187"/>
      <c r="K1566" s="187"/>
      <c r="L1566" s="187"/>
      <c r="M1566" s="187"/>
      <c r="N1566" s="187"/>
      <c r="O1566" s="187"/>
      <c r="P1566" s="187"/>
      <c r="Q1566" s="187"/>
      <c r="R1566" s="187"/>
      <c r="S1566" s="188"/>
    </row>
    <row r="1567" spans="2:19" ht="12.75">
      <c r="B1567" s="185"/>
      <c r="C1567" s="186"/>
      <c r="D1567" s="187"/>
      <c r="E1567" s="187"/>
      <c r="F1567" s="187"/>
      <c r="G1567" s="187"/>
      <c r="H1567" s="187"/>
      <c r="I1567" s="187"/>
      <c r="J1567" s="187"/>
      <c r="K1567" s="187"/>
      <c r="L1567" s="187"/>
      <c r="M1567" s="187"/>
      <c r="N1567" s="187"/>
      <c r="O1567" s="187"/>
      <c r="P1567" s="187"/>
      <c r="Q1567" s="187"/>
      <c r="R1567" s="187"/>
      <c r="S1567" s="188"/>
    </row>
    <row r="1568" spans="2:19" ht="12.75">
      <c r="B1568" s="185"/>
      <c r="C1568" s="186"/>
      <c r="D1568" s="187"/>
      <c r="E1568" s="187"/>
      <c r="F1568" s="187"/>
      <c r="G1568" s="187"/>
      <c r="H1568" s="187"/>
      <c r="I1568" s="187"/>
      <c r="J1568" s="187"/>
      <c r="K1568" s="187"/>
      <c r="L1568" s="187"/>
      <c r="M1568" s="187"/>
      <c r="N1568" s="187"/>
      <c r="O1568" s="187"/>
      <c r="P1568" s="187"/>
      <c r="Q1568" s="187"/>
      <c r="R1568" s="187"/>
      <c r="S1568" s="188"/>
    </row>
    <row r="1569" spans="2:19" ht="12.75">
      <c r="B1569" s="185"/>
      <c r="C1569" s="186"/>
      <c r="D1569" s="187"/>
      <c r="E1569" s="187"/>
      <c r="F1569" s="187"/>
      <c r="G1569" s="187"/>
      <c r="H1569" s="187"/>
      <c r="I1569" s="187"/>
      <c r="J1569" s="187"/>
      <c r="K1569" s="187"/>
      <c r="L1569" s="187"/>
      <c r="M1569" s="187"/>
      <c r="N1569" s="187"/>
      <c r="O1569" s="187"/>
      <c r="P1569" s="187"/>
      <c r="Q1569" s="187"/>
      <c r="R1569" s="187"/>
      <c r="S1569" s="188"/>
    </row>
    <row r="1570" spans="2:19" ht="12.75">
      <c r="B1570" s="185"/>
      <c r="C1570" s="186"/>
      <c r="D1570" s="187"/>
      <c r="E1570" s="187"/>
      <c r="F1570" s="187"/>
      <c r="G1570" s="187"/>
      <c r="H1570" s="187"/>
      <c r="I1570" s="187"/>
      <c r="J1570" s="187"/>
      <c r="K1570" s="187"/>
      <c r="L1570" s="187"/>
      <c r="M1570" s="187"/>
      <c r="N1570" s="187"/>
      <c r="O1570" s="187"/>
      <c r="P1570" s="187"/>
      <c r="Q1570" s="187"/>
      <c r="R1570" s="187"/>
      <c r="S1570" s="188"/>
    </row>
    <row r="1571" spans="2:19" ht="12.75">
      <c r="B1571" s="185"/>
      <c r="C1571" s="186"/>
      <c r="D1571" s="187"/>
      <c r="E1571" s="187"/>
      <c r="F1571" s="187"/>
      <c r="G1571" s="187"/>
      <c r="H1571" s="187"/>
      <c r="I1571" s="187"/>
      <c r="J1571" s="187"/>
      <c r="K1571" s="187"/>
      <c r="L1571" s="187"/>
      <c r="M1571" s="187"/>
      <c r="N1571" s="187"/>
      <c r="O1571" s="187"/>
      <c r="P1571" s="187"/>
      <c r="Q1571" s="187"/>
      <c r="R1571" s="187"/>
      <c r="S1571" s="188"/>
    </row>
    <row r="1572" spans="2:19" ht="12.75">
      <c r="B1572" s="185"/>
      <c r="C1572" s="186"/>
      <c r="D1572" s="187"/>
      <c r="E1572" s="187"/>
      <c r="F1572" s="187"/>
      <c r="G1572" s="187"/>
      <c r="H1572" s="187"/>
      <c r="I1572" s="187"/>
      <c r="J1572" s="187"/>
      <c r="K1572" s="187"/>
      <c r="L1572" s="187"/>
      <c r="M1572" s="187"/>
      <c r="N1572" s="187"/>
      <c r="O1572" s="187"/>
      <c r="P1572" s="187"/>
      <c r="Q1572" s="187"/>
      <c r="R1572" s="187"/>
      <c r="S1572" s="188"/>
    </row>
    <row r="1573" spans="2:19" ht="12.75">
      <c r="B1573" s="185"/>
      <c r="C1573" s="186"/>
      <c r="D1573" s="187"/>
      <c r="E1573" s="187"/>
      <c r="F1573" s="187"/>
      <c r="G1573" s="187"/>
      <c r="H1573" s="187"/>
      <c r="I1573" s="187"/>
      <c r="J1573" s="187"/>
      <c r="K1573" s="187"/>
      <c r="L1573" s="187"/>
      <c r="M1573" s="187"/>
      <c r="N1573" s="187"/>
      <c r="O1573" s="187"/>
      <c r="P1573" s="187"/>
      <c r="Q1573" s="187"/>
      <c r="R1573" s="187"/>
      <c r="S1573" s="188"/>
    </row>
    <row r="1574" spans="2:19" ht="12.75">
      <c r="B1574" s="185"/>
      <c r="C1574" s="186"/>
      <c r="D1574" s="187"/>
      <c r="E1574" s="187"/>
      <c r="F1574" s="187"/>
      <c r="G1574" s="187"/>
      <c r="H1574" s="187"/>
      <c r="I1574" s="187"/>
      <c r="J1574" s="187"/>
      <c r="K1574" s="187"/>
      <c r="L1574" s="187"/>
      <c r="M1574" s="187"/>
      <c r="N1574" s="187"/>
      <c r="O1574" s="187"/>
      <c r="P1574" s="187"/>
      <c r="Q1574" s="187"/>
      <c r="R1574" s="187"/>
      <c r="S1574" s="188"/>
    </row>
    <row r="1575" spans="2:19" ht="12.75">
      <c r="B1575" s="185"/>
      <c r="C1575" s="186"/>
      <c r="D1575" s="187"/>
      <c r="E1575" s="187"/>
      <c r="F1575" s="187"/>
      <c r="G1575" s="187"/>
      <c r="H1575" s="187"/>
      <c r="I1575" s="187"/>
      <c r="J1575" s="187"/>
      <c r="K1575" s="187"/>
      <c r="L1575" s="187"/>
      <c r="M1575" s="187"/>
      <c r="N1575" s="187"/>
      <c r="O1575" s="187"/>
      <c r="P1575" s="187"/>
      <c r="Q1575" s="187"/>
      <c r="R1575" s="187"/>
      <c r="S1575" s="188"/>
    </row>
    <row r="1576" spans="2:19" ht="12.75">
      <c r="B1576" s="185"/>
      <c r="C1576" s="186"/>
      <c r="D1576" s="187"/>
      <c r="E1576" s="187"/>
      <c r="F1576" s="187"/>
      <c r="G1576" s="187"/>
      <c r="H1576" s="187"/>
      <c r="I1576" s="187"/>
      <c r="J1576" s="187"/>
      <c r="K1576" s="187"/>
      <c r="L1576" s="187"/>
      <c r="M1576" s="187"/>
      <c r="N1576" s="187"/>
      <c r="O1576" s="187"/>
      <c r="P1576" s="187"/>
      <c r="Q1576" s="187"/>
      <c r="R1576" s="187"/>
      <c r="S1576" s="188"/>
    </row>
    <row r="1577" spans="2:19" ht="12.75">
      <c r="B1577" s="185"/>
      <c r="C1577" s="186"/>
      <c r="D1577" s="187"/>
      <c r="E1577" s="187"/>
      <c r="F1577" s="187"/>
      <c r="G1577" s="187"/>
      <c r="H1577" s="187"/>
      <c r="I1577" s="187"/>
      <c r="J1577" s="187"/>
      <c r="K1577" s="187"/>
      <c r="L1577" s="187"/>
      <c r="M1577" s="187"/>
      <c r="N1577" s="187"/>
      <c r="O1577" s="187"/>
      <c r="P1577" s="187"/>
      <c r="Q1577" s="187"/>
      <c r="R1577" s="187"/>
      <c r="S1577" s="188"/>
    </row>
    <row r="1578" spans="2:19" ht="12.75">
      <c r="B1578" s="185"/>
      <c r="C1578" s="186"/>
      <c r="D1578" s="187"/>
      <c r="E1578" s="187"/>
      <c r="F1578" s="187"/>
      <c r="G1578" s="187"/>
      <c r="H1578" s="187"/>
      <c r="I1578" s="187"/>
      <c r="J1578" s="187"/>
      <c r="K1578" s="187"/>
      <c r="L1578" s="187"/>
      <c r="M1578" s="187"/>
      <c r="N1578" s="187"/>
      <c r="O1578" s="187"/>
      <c r="P1578" s="187"/>
      <c r="Q1578" s="187"/>
      <c r="R1578" s="187"/>
      <c r="S1578" s="188"/>
    </row>
    <row r="1579" spans="2:19" ht="12.75">
      <c r="B1579" s="185"/>
      <c r="C1579" s="186"/>
      <c r="D1579" s="187"/>
      <c r="E1579" s="187"/>
      <c r="F1579" s="187"/>
      <c r="G1579" s="187"/>
      <c r="H1579" s="187"/>
      <c r="I1579" s="187"/>
      <c r="J1579" s="187"/>
      <c r="K1579" s="187"/>
      <c r="L1579" s="187"/>
      <c r="M1579" s="187"/>
      <c r="N1579" s="187"/>
      <c r="O1579" s="187"/>
      <c r="P1579" s="187"/>
      <c r="Q1579" s="187"/>
      <c r="R1579" s="187"/>
      <c r="S1579" s="188"/>
    </row>
    <row r="1580" spans="2:19" ht="12.75">
      <c r="B1580" s="185"/>
      <c r="C1580" s="186"/>
      <c r="D1580" s="187"/>
      <c r="E1580" s="187"/>
      <c r="F1580" s="187"/>
      <c r="G1580" s="187"/>
      <c r="H1580" s="187"/>
      <c r="I1580" s="187"/>
      <c r="J1580" s="187"/>
      <c r="K1580" s="187"/>
      <c r="L1580" s="187"/>
      <c r="M1580" s="187"/>
      <c r="N1580" s="187"/>
      <c r="O1580" s="187"/>
      <c r="P1580" s="187"/>
      <c r="Q1580" s="187"/>
      <c r="R1580" s="187"/>
      <c r="S1580" s="188"/>
    </row>
    <row r="1581" spans="2:19" ht="12.75">
      <c r="B1581" s="185"/>
      <c r="C1581" s="186"/>
      <c r="D1581" s="187"/>
      <c r="E1581" s="187"/>
      <c r="F1581" s="187"/>
      <c r="G1581" s="187"/>
      <c r="H1581" s="187"/>
      <c r="I1581" s="187"/>
      <c r="J1581" s="187"/>
      <c r="K1581" s="187"/>
      <c r="L1581" s="187"/>
      <c r="M1581" s="187"/>
      <c r="N1581" s="187"/>
      <c r="O1581" s="187"/>
      <c r="P1581" s="187"/>
      <c r="Q1581" s="187"/>
      <c r="R1581" s="187"/>
      <c r="S1581" s="188"/>
    </row>
    <row r="1582" spans="2:19" ht="12.75">
      <c r="B1582" s="185"/>
      <c r="C1582" s="186"/>
      <c r="D1582" s="187"/>
      <c r="E1582" s="187"/>
      <c r="F1582" s="187"/>
      <c r="G1582" s="187"/>
      <c r="H1582" s="187"/>
      <c r="I1582" s="187"/>
      <c r="J1582" s="187"/>
      <c r="K1582" s="187"/>
      <c r="L1582" s="187"/>
      <c r="M1582" s="187"/>
      <c r="N1582" s="187"/>
      <c r="O1582" s="187"/>
      <c r="P1582" s="187"/>
      <c r="Q1582" s="187"/>
      <c r="R1582" s="187"/>
      <c r="S1582" s="188"/>
    </row>
    <row r="1583" spans="2:19" ht="12.75">
      <c r="B1583" s="185"/>
      <c r="C1583" s="186"/>
      <c r="D1583" s="187"/>
      <c r="E1583" s="187"/>
      <c r="F1583" s="187"/>
      <c r="G1583" s="187"/>
      <c r="H1583" s="187"/>
      <c r="I1583" s="187"/>
      <c r="J1583" s="187"/>
      <c r="K1583" s="187"/>
      <c r="L1583" s="187"/>
      <c r="M1583" s="187"/>
      <c r="N1583" s="187"/>
      <c r="O1583" s="187"/>
      <c r="P1583" s="187"/>
      <c r="Q1583" s="187"/>
      <c r="R1583" s="187"/>
      <c r="S1583" s="188"/>
    </row>
    <row r="1584" spans="2:19" ht="12.75">
      <c r="B1584" s="185"/>
      <c r="C1584" s="186"/>
      <c r="D1584" s="187"/>
      <c r="E1584" s="187"/>
      <c r="F1584" s="187"/>
      <c r="G1584" s="187"/>
      <c r="H1584" s="187"/>
      <c r="I1584" s="187"/>
      <c r="J1584" s="187"/>
      <c r="K1584" s="187"/>
      <c r="L1584" s="187"/>
      <c r="M1584" s="187"/>
      <c r="N1584" s="187"/>
      <c r="O1584" s="187"/>
      <c r="P1584" s="187"/>
      <c r="Q1584" s="187"/>
      <c r="R1584" s="187"/>
      <c r="S1584" s="188"/>
    </row>
    <row r="1585" spans="2:19" ht="12.75">
      <c r="B1585" s="185"/>
      <c r="C1585" s="186"/>
      <c r="D1585" s="187"/>
      <c r="E1585" s="187"/>
      <c r="F1585" s="187"/>
      <c r="G1585" s="187"/>
      <c r="H1585" s="187"/>
      <c r="I1585" s="187"/>
      <c r="J1585" s="187"/>
      <c r="K1585" s="187"/>
      <c r="L1585" s="187"/>
      <c r="M1585" s="187"/>
      <c r="N1585" s="187"/>
      <c r="O1585" s="187"/>
      <c r="P1585" s="187"/>
      <c r="Q1585" s="187"/>
      <c r="R1585" s="187"/>
      <c r="S1585" s="188"/>
    </row>
    <row r="1586" spans="2:19" ht="12.75">
      <c r="B1586" s="185"/>
      <c r="C1586" s="186"/>
      <c r="D1586" s="187"/>
      <c r="E1586" s="187"/>
      <c r="F1586" s="187"/>
      <c r="G1586" s="187"/>
      <c r="H1586" s="187"/>
      <c r="I1586" s="187"/>
      <c r="J1586" s="187"/>
      <c r="K1586" s="187"/>
      <c r="L1586" s="187"/>
      <c r="M1586" s="187"/>
      <c r="N1586" s="187"/>
      <c r="O1586" s="187"/>
      <c r="P1586" s="187"/>
      <c r="Q1586" s="187"/>
      <c r="R1586" s="187"/>
      <c r="S1586" s="188"/>
    </row>
    <row r="1587" spans="2:19" ht="12.75">
      <c r="B1587" s="185"/>
      <c r="C1587" s="186"/>
      <c r="D1587" s="187"/>
      <c r="E1587" s="187"/>
      <c r="F1587" s="187"/>
      <c r="G1587" s="187"/>
      <c r="H1587" s="187"/>
      <c r="I1587" s="187"/>
      <c r="J1587" s="187"/>
      <c r="K1587" s="187"/>
      <c r="L1587" s="187"/>
      <c r="M1587" s="187"/>
      <c r="N1587" s="187"/>
      <c r="O1587" s="187"/>
      <c r="P1587" s="187"/>
      <c r="Q1587" s="187"/>
      <c r="R1587" s="187"/>
      <c r="S1587" s="188"/>
    </row>
    <row r="1588" spans="2:19" ht="12.75">
      <c r="B1588" s="185"/>
      <c r="C1588" s="186"/>
      <c r="D1588" s="187"/>
      <c r="E1588" s="187"/>
      <c r="F1588" s="187"/>
      <c r="G1588" s="187"/>
      <c r="H1588" s="187"/>
      <c r="I1588" s="187"/>
      <c r="J1588" s="187"/>
      <c r="K1588" s="187"/>
      <c r="L1588" s="187"/>
      <c r="M1588" s="187"/>
      <c r="N1588" s="187"/>
      <c r="O1588" s="187"/>
      <c r="P1588" s="187"/>
      <c r="Q1588" s="187"/>
      <c r="R1588" s="187"/>
      <c r="S1588" s="188"/>
    </row>
    <row r="1589" spans="2:19" ht="12.75">
      <c r="B1589" s="185"/>
      <c r="C1589" s="186"/>
      <c r="D1589" s="187"/>
      <c r="E1589" s="187"/>
      <c r="F1589" s="187"/>
      <c r="G1589" s="187"/>
      <c r="H1589" s="187"/>
      <c r="I1589" s="187"/>
      <c r="J1589" s="187"/>
      <c r="K1589" s="187"/>
      <c r="L1589" s="187"/>
      <c r="M1589" s="187"/>
      <c r="N1589" s="187"/>
      <c r="O1589" s="187"/>
      <c r="P1589" s="187"/>
      <c r="Q1589" s="187"/>
      <c r="R1589" s="187"/>
      <c r="S1589" s="188"/>
    </row>
    <row r="1590" spans="2:19" ht="12.75">
      <c r="B1590" s="185"/>
      <c r="C1590" s="186"/>
      <c r="D1590" s="187"/>
      <c r="E1590" s="187"/>
      <c r="F1590" s="187"/>
      <c r="G1590" s="187"/>
      <c r="H1590" s="187"/>
      <c r="I1590" s="187"/>
      <c r="J1590" s="187"/>
      <c r="K1590" s="187"/>
      <c r="L1590" s="187"/>
      <c r="M1590" s="187"/>
      <c r="N1590" s="187"/>
      <c r="O1590" s="187"/>
      <c r="P1590" s="187"/>
      <c r="Q1590" s="187"/>
      <c r="R1590" s="187"/>
      <c r="S1590" s="188"/>
    </row>
    <row r="1591" spans="2:19" ht="12.75">
      <c r="B1591" s="185"/>
      <c r="C1591" s="186"/>
      <c r="D1591" s="187"/>
      <c r="E1591" s="187"/>
      <c r="F1591" s="187"/>
      <c r="G1591" s="187"/>
      <c r="H1591" s="187"/>
      <c r="I1591" s="187"/>
      <c r="J1591" s="187"/>
      <c r="K1591" s="187"/>
      <c r="L1591" s="187"/>
      <c r="M1591" s="187"/>
      <c r="N1591" s="187"/>
      <c r="O1591" s="187"/>
      <c r="P1591" s="187"/>
      <c r="Q1591" s="187"/>
      <c r="R1591" s="187"/>
      <c r="S1591" s="188"/>
    </row>
    <row r="1592" spans="2:19" ht="12.75">
      <c r="B1592" s="185"/>
      <c r="C1592" s="186"/>
      <c r="D1592" s="187"/>
      <c r="E1592" s="187"/>
      <c r="F1592" s="187"/>
      <c r="G1592" s="187"/>
      <c r="H1592" s="187"/>
      <c r="I1592" s="187"/>
      <c r="J1592" s="187"/>
      <c r="K1592" s="187"/>
      <c r="L1592" s="187"/>
      <c r="M1592" s="187"/>
      <c r="N1592" s="187"/>
      <c r="O1592" s="187"/>
      <c r="P1592" s="187"/>
      <c r="Q1592" s="187"/>
      <c r="R1592" s="187"/>
      <c r="S1592" s="188"/>
    </row>
    <row r="1593" spans="2:19" ht="12.75">
      <c r="B1593" s="185"/>
      <c r="C1593" s="186"/>
      <c r="D1593" s="187"/>
      <c r="E1593" s="187"/>
      <c r="F1593" s="187"/>
      <c r="G1593" s="187"/>
      <c r="H1593" s="187"/>
      <c r="I1593" s="187"/>
      <c r="J1593" s="187"/>
      <c r="K1593" s="187"/>
      <c r="L1593" s="187"/>
      <c r="M1593" s="187"/>
      <c r="N1593" s="187"/>
      <c r="O1593" s="187"/>
      <c r="P1593" s="187"/>
      <c r="Q1593" s="187"/>
      <c r="R1593" s="187"/>
      <c r="S1593" s="188"/>
    </row>
    <row r="1594" spans="2:19" ht="12.75">
      <c r="B1594" s="185"/>
      <c r="C1594" s="186"/>
      <c r="D1594" s="187"/>
      <c r="E1594" s="187"/>
      <c r="F1594" s="187"/>
      <c r="G1594" s="187"/>
      <c r="H1594" s="187"/>
      <c r="I1594" s="187"/>
      <c r="J1594" s="187"/>
      <c r="K1594" s="187"/>
      <c r="L1594" s="187"/>
      <c r="M1594" s="187"/>
      <c r="N1594" s="187"/>
      <c r="O1594" s="187"/>
      <c r="P1594" s="187"/>
      <c r="Q1594" s="187"/>
      <c r="R1594" s="187"/>
      <c r="S1594" s="188"/>
    </row>
    <row r="1595" spans="2:19" ht="12.75">
      <c r="B1595" s="185"/>
      <c r="C1595" s="186"/>
      <c r="D1595" s="187"/>
      <c r="E1595" s="187"/>
      <c r="F1595" s="187"/>
      <c r="G1595" s="187"/>
      <c r="H1595" s="187"/>
      <c r="I1595" s="187"/>
      <c r="J1595" s="187"/>
      <c r="K1595" s="187"/>
      <c r="L1595" s="187"/>
      <c r="M1595" s="187"/>
      <c r="N1595" s="187"/>
      <c r="O1595" s="187"/>
      <c r="P1595" s="187"/>
      <c r="Q1595" s="187"/>
      <c r="R1595" s="187"/>
      <c r="S1595" s="188"/>
    </row>
    <row r="1596" spans="2:19" ht="12.75">
      <c r="B1596" s="185"/>
      <c r="C1596" s="186"/>
      <c r="D1596" s="187"/>
      <c r="E1596" s="187"/>
      <c r="F1596" s="187"/>
      <c r="G1596" s="187"/>
      <c r="H1596" s="187"/>
      <c r="I1596" s="187"/>
      <c r="J1596" s="187"/>
      <c r="K1596" s="187"/>
      <c r="L1596" s="187"/>
      <c r="M1596" s="187"/>
      <c r="N1596" s="187"/>
      <c r="O1596" s="187"/>
      <c r="P1596" s="187"/>
      <c r="Q1596" s="187"/>
      <c r="R1596" s="187"/>
      <c r="S1596" s="188"/>
    </row>
    <row r="1597" spans="2:19" ht="12.75">
      <c r="B1597" s="185"/>
      <c r="C1597" s="186"/>
      <c r="D1597" s="187"/>
      <c r="E1597" s="187"/>
      <c r="F1597" s="187"/>
      <c r="G1597" s="187"/>
      <c r="H1597" s="187"/>
      <c r="I1597" s="187"/>
      <c r="J1597" s="187"/>
      <c r="K1597" s="187"/>
      <c r="L1597" s="187"/>
      <c r="M1597" s="187"/>
      <c r="N1597" s="187"/>
      <c r="O1597" s="187"/>
      <c r="P1597" s="187"/>
      <c r="Q1597" s="187"/>
      <c r="R1597" s="187"/>
      <c r="S1597" s="188"/>
    </row>
    <row r="1598" spans="2:19" ht="12.75">
      <c r="B1598" s="185"/>
      <c r="C1598" s="186"/>
      <c r="D1598" s="187"/>
      <c r="E1598" s="187"/>
      <c r="F1598" s="187"/>
      <c r="G1598" s="187"/>
      <c r="H1598" s="187"/>
      <c r="I1598" s="187"/>
      <c r="J1598" s="187"/>
      <c r="K1598" s="187"/>
      <c r="L1598" s="187"/>
      <c r="M1598" s="187"/>
      <c r="N1598" s="187"/>
      <c r="O1598" s="187"/>
      <c r="P1598" s="187"/>
      <c r="Q1598" s="187"/>
      <c r="R1598" s="187"/>
      <c r="S1598" s="188"/>
    </row>
    <row r="1599" spans="2:19" ht="12.75">
      <c r="B1599" s="185"/>
      <c r="C1599" s="186"/>
      <c r="D1599" s="187"/>
      <c r="E1599" s="187"/>
      <c r="F1599" s="187"/>
      <c r="G1599" s="187"/>
      <c r="H1599" s="187"/>
      <c r="I1599" s="187"/>
      <c r="J1599" s="187"/>
      <c r="K1599" s="187"/>
      <c r="L1599" s="187"/>
      <c r="M1599" s="187"/>
      <c r="N1599" s="187"/>
      <c r="O1599" s="187"/>
      <c r="P1599" s="187"/>
      <c r="Q1599" s="187"/>
      <c r="R1599" s="187"/>
      <c r="S1599" s="188"/>
    </row>
    <row r="1600" spans="2:19" ht="12.75">
      <c r="B1600" s="185"/>
      <c r="C1600" s="186"/>
      <c r="D1600" s="187"/>
      <c r="E1600" s="187"/>
      <c r="F1600" s="187"/>
      <c r="G1600" s="187"/>
      <c r="H1600" s="187"/>
      <c r="I1600" s="187"/>
      <c r="J1600" s="187"/>
      <c r="K1600" s="187"/>
      <c r="L1600" s="187"/>
      <c r="M1600" s="187"/>
      <c r="N1600" s="187"/>
      <c r="O1600" s="187"/>
      <c r="P1600" s="187"/>
      <c r="Q1600" s="187"/>
      <c r="R1600" s="187"/>
      <c r="S1600" s="188"/>
    </row>
    <row r="1601" spans="2:19" ht="12.75">
      <c r="B1601" s="185"/>
      <c r="C1601" s="186"/>
      <c r="D1601" s="187"/>
      <c r="E1601" s="187"/>
      <c r="F1601" s="187"/>
      <c r="G1601" s="187"/>
      <c r="H1601" s="187"/>
      <c r="I1601" s="187"/>
      <c r="J1601" s="187"/>
      <c r="K1601" s="187"/>
      <c r="L1601" s="187"/>
      <c r="M1601" s="187"/>
      <c r="N1601" s="187"/>
      <c r="O1601" s="187"/>
      <c r="P1601" s="187"/>
      <c r="Q1601" s="187"/>
      <c r="R1601" s="187"/>
      <c r="S1601" s="188"/>
    </row>
    <row r="1602" spans="2:19" ht="12.75">
      <c r="B1602" s="185"/>
      <c r="C1602" s="186"/>
      <c r="D1602" s="187"/>
      <c r="E1602" s="187"/>
      <c r="F1602" s="187"/>
      <c r="G1602" s="187"/>
      <c r="H1602" s="187"/>
      <c r="I1602" s="187"/>
      <c r="J1602" s="187"/>
      <c r="K1602" s="187"/>
      <c r="L1602" s="187"/>
      <c r="M1602" s="187"/>
      <c r="N1602" s="187"/>
      <c r="O1602" s="187"/>
      <c r="P1602" s="187"/>
      <c r="Q1602" s="187"/>
      <c r="R1602" s="187"/>
      <c r="S1602" s="188"/>
    </row>
    <row r="1603" spans="2:19" ht="12.75">
      <c r="B1603" s="185"/>
      <c r="C1603" s="186"/>
      <c r="D1603" s="187"/>
      <c r="E1603" s="187"/>
      <c r="F1603" s="187"/>
      <c r="G1603" s="187"/>
      <c r="H1603" s="187"/>
      <c r="I1603" s="187"/>
      <c r="J1603" s="187"/>
      <c r="K1603" s="187"/>
      <c r="L1603" s="187"/>
      <c r="M1603" s="187"/>
      <c r="N1603" s="187"/>
      <c r="O1603" s="187"/>
      <c r="P1603" s="187"/>
      <c r="Q1603" s="187"/>
      <c r="R1603" s="187"/>
      <c r="S1603" s="188"/>
    </row>
    <row r="1604" spans="2:19" ht="12.75">
      <c r="B1604" s="185"/>
      <c r="C1604" s="186"/>
      <c r="D1604" s="187"/>
      <c r="E1604" s="187"/>
      <c r="F1604" s="187"/>
      <c r="G1604" s="187"/>
      <c r="H1604" s="187"/>
      <c r="I1604" s="187"/>
      <c r="J1604" s="187"/>
      <c r="K1604" s="187"/>
      <c r="L1604" s="187"/>
      <c r="M1604" s="187"/>
      <c r="N1604" s="187"/>
      <c r="O1604" s="187"/>
      <c r="P1604" s="187"/>
      <c r="Q1604" s="187"/>
      <c r="R1604" s="187"/>
      <c r="S1604" s="188"/>
    </row>
    <row r="1605" spans="2:19" ht="12.75">
      <c r="B1605" s="185"/>
      <c r="C1605" s="186"/>
      <c r="D1605" s="187"/>
      <c r="E1605" s="187"/>
      <c r="F1605" s="187"/>
      <c r="G1605" s="187"/>
      <c r="H1605" s="187"/>
      <c r="I1605" s="187"/>
      <c r="J1605" s="187"/>
      <c r="K1605" s="187"/>
      <c r="L1605" s="187"/>
      <c r="M1605" s="187"/>
      <c r="N1605" s="187"/>
      <c r="O1605" s="187"/>
      <c r="P1605" s="187"/>
      <c r="Q1605" s="187"/>
      <c r="R1605" s="187"/>
      <c r="S1605" s="188"/>
    </row>
    <row r="1606" spans="2:19" ht="12.75">
      <c r="B1606" s="185"/>
      <c r="C1606" s="186"/>
      <c r="D1606" s="187"/>
      <c r="E1606" s="187"/>
      <c r="F1606" s="187"/>
      <c r="G1606" s="187"/>
      <c r="H1606" s="187"/>
      <c r="I1606" s="187"/>
      <c r="J1606" s="187"/>
      <c r="K1606" s="187"/>
      <c r="L1606" s="187"/>
      <c r="M1606" s="187"/>
      <c r="N1606" s="187"/>
      <c r="O1606" s="187"/>
      <c r="P1606" s="187"/>
      <c r="Q1606" s="187"/>
      <c r="R1606" s="187"/>
      <c r="S1606" s="188"/>
    </row>
    <row r="1607" spans="2:19" ht="12.75">
      <c r="B1607" s="185"/>
      <c r="C1607" s="186"/>
      <c r="D1607" s="187"/>
      <c r="E1607" s="187"/>
      <c r="F1607" s="187"/>
      <c r="G1607" s="187"/>
      <c r="H1607" s="187"/>
      <c r="I1607" s="187"/>
      <c r="J1607" s="187"/>
      <c r="K1607" s="187"/>
      <c r="L1607" s="187"/>
      <c r="M1607" s="187"/>
      <c r="N1607" s="187"/>
      <c r="O1607" s="187"/>
      <c r="P1607" s="187"/>
      <c r="Q1607" s="187"/>
      <c r="R1607" s="187"/>
      <c r="S1607" s="188"/>
    </row>
    <row r="1608" spans="2:19" ht="12.75">
      <c r="B1608" s="185"/>
      <c r="C1608" s="186"/>
      <c r="D1608" s="187"/>
      <c r="E1608" s="187"/>
      <c r="F1608" s="187"/>
      <c r="G1608" s="187"/>
      <c r="H1608" s="187"/>
      <c r="I1608" s="187"/>
      <c r="J1608" s="187"/>
      <c r="K1608" s="187"/>
      <c r="L1608" s="187"/>
      <c r="M1608" s="187"/>
      <c r="N1608" s="187"/>
      <c r="O1608" s="187"/>
      <c r="P1608" s="187"/>
      <c r="Q1608" s="187"/>
      <c r="R1608" s="187"/>
      <c r="S1608" s="188"/>
    </row>
    <row r="1609" spans="2:19" ht="12.75">
      <c r="B1609" s="185"/>
      <c r="C1609" s="186"/>
      <c r="D1609" s="187"/>
      <c r="E1609" s="187"/>
      <c r="F1609" s="187"/>
      <c r="G1609" s="187"/>
      <c r="H1609" s="187"/>
      <c r="I1609" s="187"/>
      <c r="J1609" s="187"/>
      <c r="K1609" s="187"/>
      <c r="L1609" s="187"/>
      <c r="M1609" s="187"/>
      <c r="N1609" s="187"/>
      <c r="O1609" s="187"/>
      <c r="P1609" s="187"/>
      <c r="Q1609" s="187"/>
      <c r="R1609" s="187"/>
      <c r="S1609" s="188"/>
    </row>
    <row r="1610" spans="2:19" ht="12.75">
      <c r="B1610" s="185"/>
      <c r="C1610" s="186"/>
      <c r="D1610" s="187"/>
      <c r="E1610" s="187"/>
      <c r="F1610" s="187"/>
      <c r="G1610" s="187"/>
      <c r="H1610" s="187"/>
      <c r="I1610" s="187"/>
      <c r="J1610" s="187"/>
      <c r="K1610" s="187"/>
      <c r="L1610" s="187"/>
      <c r="M1610" s="187"/>
      <c r="N1610" s="187"/>
      <c r="O1610" s="187"/>
      <c r="P1610" s="187"/>
      <c r="Q1610" s="187"/>
      <c r="R1610" s="187"/>
      <c r="S1610" s="188"/>
    </row>
    <row r="1611" spans="2:19" ht="12.75">
      <c r="B1611" s="185"/>
      <c r="C1611" s="186"/>
      <c r="D1611" s="187"/>
      <c r="E1611" s="187"/>
      <c r="F1611" s="187"/>
      <c r="G1611" s="187"/>
      <c r="H1611" s="187"/>
      <c r="I1611" s="187"/>
      <c r="J1611" s="187"/>
      <c r="K1611" s="187"/>
      <c r="L1611" s="187"/>
      <c r="M1611" s="187"/>
      <c r="N1611" s="187"/>
      <c r="O1611" s="187"/>
      <c r="P1611" s="187"/>
      <c r="Q1611" s="187"/>
      <c r="R1611" s="187"/>
      <c r="S1611" s="188"/>
    </row>
    <row r="1612" spans="2:19" ht="12.75">
      <c r="B1612" s="185"/>
      <c r="C1612" s="186"/>
      <c r="D1612" s="187"/>
      <c r="E1612" s="187"/>
      <c r="F1612" s="187"/>
      <c r="G1612" s="187"/>
      <c r="H1612" s="187"/>
      <c r="I1612" s="187"/>
      <c r="J1612" s="187"/>
      <c r="K1612" s="187"/>
      <c r="L1612" s="187"/>
      <c r="M1612" s="187"/>
      <c r="N1612" s="187"/>
      <c r="O1612" s="187"/>
      <c r="P1612" s="187"/>
      <c r="Q1612" s="187"/>
      <c r="R1612" s="187"/>
      <c r="S1612" s="188"/>
    </row>
    <row r="1613" spans="2:19" ht="12.75">
      <c r="B1613" s="185"/>
      <c r="C1613" s="186"/>
      <c r="D1613" s="187"/>
      <c r="E1613" s="187"/>
      <c r="F1613" s="187"/>
      <c r="G1613" s="187"/>
      <c r="H1613" s="187"/>
      <c r="I1613" s="187"/>
      <c r="J1613" s="187"/>
      <c r="K1613" s="187"/>
      <c r="L1613" s="187"/>
      <c r="M1613" s="187"/>
      <c r="N1613" s="187"/>
      <c r="O1613" s="187"/>
      <c r="P1613" s="187"/>
      <c r="Q1613" s="187"/>
      <c r="R1613" s="187"/>
      <c r="S1613" s="188"/>
    </row>
    <row r="1614" spans="2:19" ht="12.75">
      <c r="B1614" s="185"/>
      <c r="C1614" s="186"/>
      <c r="D1614" s="187"/>
      <c r="E1614" s="187"/>
      <c r="F1614" s="187"/>
      <c r="G1614" s="187"/>
      <c r="H1614" s="187"/>
      <c r="I1614" s="187"/>
      <c r="J1614" s="187"/>
      <c r="K1614" s="187"/>
      <c r="L1614" s="187"/>
      <c r="M1614" s="187"/>
      <c r="N1614" s="187"/>
      <c r="O1614" s="187"/>
      <c r="P1614" s="187"/>
      <c r="Q1614" s="187"/>
      <c r="R1614" s="187"/>
      <c r="S1614" s="188"/>
    </row>
    <row r="1615" spans="2:19" ht="12.75">
      <c r="B1615" s="185"/>
      <c r="C1615" s="186"/>
      <c r="D1615" s="187"/>
      <c r="E1615" s="187"/>
      <c r="F1615" s="187"/>
      <c r="G1615" s="187"/>
      <c r="H1615" s="187"/>
      <c r="I1615" s="187"/>
      <c r="J1615" s="187"/>
      <c r="K1615" s="187"/>
      <c r="L1615" s="187"/>
      <c r="M1615" s="187"/>
      <c r="N1615" s="187"/>
      <c r="O1615" s="187"/>
      <c r="P1615" s="187"/>
      <c r="Q1615" s="187"/>
      <c r="R1615" s="187"/>
      <c r="S1615" s="188"/>
    </row>
    <row r="1616" spans="2:19" ht="12.75">
      <c r="B1616" s="185"/>
      <c r="C1616" s="186"/>
      <c r="D1616" s="187"/>
      <c r="E1616" s="187"/>
      <c r="F1616" s="187"/>
      <c r="G1616" s="187"/>
      <c r="H1616" s="187"/>
      <c r="I1616" s="187"/>
      <c r="J1616" s="187"/>
      <c r="K1616" s="187"/>
      <c r="L1616" s="187"/>
      <c r="M1616" s="187"/>
      <c r="N1616" s="187"/>
      <c r="O1616" s="187"/>
      <c r="P1616" s="187"/>
      <c r="Q1616" s="187"/>
      <c r="R1616" s="187"/>
      <c r="S1616" s="188"/>
    </row>
    <row r="1617" spans="2:19" ht="12.75">
      <c r="B1617" s="185"/>
      <c r="C1617" s="186"/>
      <c r="D1617" s="187"/>
      <c r="E1617" s="187"/>
      <c r="F1617" s="187"/>
      <c r="G1617" s="187"/>
      <c r="H1617" s="187"/>
      <c r="I1617" s="187"/>
      <c r="J1617" s="187"/>
      <c r="K1617" s="187"/>
      <c r="L1617" s="187"/>
      <c r="M1617" s="187"/>
      <c r="N1617" s="187"/>
      <c r="O1617" s="187"/>
      <c r="P1617" s="187"/>
      <c r="Q1617" s="187"/>
      <c r="R1617" s="187"/>
      <c r="S1617" s="188"/>
    </row>
    <row r="1618" spans="2:19" ht="12.75">
      <c r="B1618" s="185"/>
      <c r="C1618" s="186"/>
      <c r="D1618" s="187"/>
      <c r="E1618" s="187"/>
      <c r="F1618" s="187"/>
      <c r="G1618" s="187"/>
      <c r="H1618" s="187"/>
      <c r="I1618" s="187"/>
      <c r="J1618" s="187"/>
      <c r="K1618" s="187"/>
      <c r="L1618" s="187"/>
      <c r="M1618" s="187"/>
      <c r="N1618" s="187"/>
      <c r="O1618" s="187"/>
      <c r="P1618" s="187"/>
      <c r="Q1618" s="187"/>
      <c r="R1618" s="187"/>
      <c r="S1618" s="188"/>
    </row>
    <row r="1619" spans="2:19" ht="12.75">
      <c r="B1619" s="185"/>
      <c r="C1619" s="186"/>
      <c r="D1619" s="187"/>
      <c r="E1619" s="187"/>
      <c r="F1619" s="187"/>
      <c r="G1619" s="187"/>
      <c r="H1619" s="187"/>
      <c r="I1619" s="187"/>
      <c r="J1619" s="187"/>
      <c r="K1619" s="187"/>
      <c r="L1619" s="187"/>
      <c r="M1619" s="187"/>
      <c r="N1619" s="187"/>
      <c r="O1619" s="187"/>
      <c r="P1619" s="187"/>
      <c r="Q1619" s="187"/>
      <c r="R1619" s="187"/>
      <c r="S1619" s="188"/>
    </row>
    <row r="1620" spans="2:19" ht="12.75">
      <c r="B1620" s="185"/>
      <c r="C1620" s="186"/>
      <c r="D1620" s="187"/>
      <c r="E1620" s="187"/>
      <c r="F1620" s="187"/>
      <c r="G1620" s="187"/>
      <c r="H1620" s="187"/>
      <c r="I1620" s="187"/>
      <c r="J1620" s="187"/>
      <c r="K1620" s="187"/>
      <c r="L1620" s="187"/>
      <c r="M1620" s="187"/>
      <c r="N1620" s="187"/>
      <c r="O1620" s="187"/>
      <c r="P1620" s="187"/>
      <c r="Q1620" s="187"/>
      <c r="R1620" s="187"/>
      <c r="S1620" s="188"/>
    </row>
    <row r="1621" spans="2:19" ht="12.75">
      <c r="B1621" s="185"/>
      <c r="C1621" s="186"/>
      <c r="D1621" s="187"/>
      <c r="E1621" s="187"/>
      <c r="F1621" s="187"/>
      <c r="G1621" s="187"/>
      <c r="H1621" s="187"/>
      <c r="I1621" s="187"/>
      <c r="J1621" s="187"/>
      <c r="K1621" s="187"/>
      <c r="L1621" s="187"/>
      <c r="M1621" s="187"/>
      <c r="N1621" s="187"/>
      <c r="O1621" s="187"/>
      <c r="P1621" s="187"/>
      <c r="Q1621" s="187"/>
      <c r="R1621" s="187"/>
      <c r="S1621" s="188"/>
    </row>
    <row r="1622" spans="2:19" ht="12.75">
      <c r="B1622" s="185"/>
      <c r="C1622" s="186"/>
      <c r="D1622" s="187"/>
      <c r="E1622" s="187"/>
      <c r="F1622" s="187"/>
      <c r="G1622" s="187"/>
      <c r="H1622" s="187"/>
      <c r="I1622" s="187"/>
      <c r="J1622" s="187"/>
      <c r="K1622" s="187"/>
      <c r="L1622" s="187"/>
      <c r="M1622" s="187"/>
      <c r="N1622" s="187"/>
      <c r="O1622" s="187"/>
      <c r="P1622" s="187"/>
      <c r="Q1622" s="187"/>
      <c r="R1622" s="187"/>
      <c r="S1622" s="188"/>
    </row>
    <row r="1623" spans="2:19" ht="12.75">
      <c r="B1623" s="185"/>
      <c r="C1623" s="186"/>
      <c r="D1623" s="187"/>
      <c r="E1623" s="187"/>
      <c r="F1623" s="187"/>
      <c r="G1623" s="187"/>
      <c r="H1623" s="187"/>
      <c r="I1623" s="187"/>
      <c r="J1623" s="187"/>
      <c r="K1623" s="187"/>
      <c r="L1623" s="187"/>
      <c r="M1623" s="187"/>
      <c r="N1623" s="187"/>
      <c r="O1623" s="187"/>
      <c r="P1623" s="187"/>
      <c r="Q1623" s="187"/>
      <c r="R1623" s="187"/>
      <c r="S1623" s="188"/>
    </row>
    <row r="1624" spans="2:19" ht="12.75">
      <c r="B1624" s="185"/>
      <c r="C1624" s="186"/>
      <c r="D1624" s="187"/>
      <c r="E1624" s="187"/>
      <c r="F1624" s="187"/>
      <c r="G1624" s="187"/>
      <c r="H1624" s="187"/>
      <c r="I1624" s="187"/>
      <c r="J1624" s="187"/>
      <c r="K1624" s="187"/>
      <c r="L1624" s="187"/>
      <c r="M1624" s="187"/>
      <c r="N1624" s="187"/>
      <c r="O1624" s="187"/>
      <c r="P1624" s="187"/>
      <c r="Q1624" s="187"/>
      <c r="R1624" s="187"/>
      <c r="S1624" s="188"/>
    </row>
    <row r="1625" spans="2:19" ht="12.75">
      <c r="B1625" s="185"/>
      <c r="C1625" s="186"/>
      <c r="D1625" s="187"/>
      <c r="E1625" s="187"/>
      <c r="F1625" s="187"/>
      <c r="G1625" s="187"/>
      <c r="H1625" s="187"/>
      <c r="I1625" s="187"/>
      <c r="J1625" s="187"/>
      <c r="K1625" s="187"/>
      <c r="L1625" s="187"/>
      <c r="M1625" s="187"/>
      <c r="N1625" s="187"/>
      <c r="O1625" s="187"/>
      <c r="P1625" s="187"/>
      <c r="Q1625" s="187"/>
      <c r="R1625" s="187"/>
      <c r="S1625" s="188"/>
    </row>
    <row r="1626" spans="2:19" ht="12.75">
      <c r="B1626" s="185"/>
      <c r="C1626" s="186"/>
      <c r="D1626" s="187"/>
      <c r="E1626" s="187"/>
      <c r="F1626" s="187"/>
      <c r="G1626" s="187"/>
      <c r="H1626" s="187"/>
      <c r="I1626" s="187"/>
      <c r="J1626" s="187"/>
      <c r="K1626" s="187"/>
      <c r="L1626" s="187"/>
      <c r="M1626" s="187"/>
      <c r="N1626" s="187"/>
      <c r="O1626" s="187"/>
      <c r="P1626" s="187"/>
      <c r="Q1626" s="187"/>
      <c r="R1626" s="187"/>
      <c r="S1626" s="188"/>
    </row>
    <row r="1627" spans="2:19" ht="12.75">
      <c r="B1627" s="185"/>
      <c r="C1627" s="186"/>
      <c r="D1627" s="187"/>
      <c r="E1627" s="187"/>
      <c r="F1627" s="187"/>
      <c r="G1627" s="187"/>
      <c r="H1627" s="187"/>
      <c r="I1627" s="187"/>
      <c r="J1627" s="187"/>
      <c r="K1627" s="187"/>
      <c r="L1627" s="187"/>
      <c r="M1627" s="187"/>
      <c r="N1627" s="187"/>
      <c r="O1627" s="187"/>
      <c r="P1627" s="187"/>
      <c r="Q1627" s="187"/>
      <c r="R1627" s="187"/>
      <c r="S1627" s="188"/>
    </row>
    <row r="1628" spans="2:19" ht="12.75">
      <c r="B1628" s="185"/>
      <c r="C1628" s="186"/>
      <c r="D1628" s="187"/>
      <c r="E1628" s="187"/>
      <c r="F1628" s="187"/>
      <c r="G1628" s="187"/>
      <c r="H1628" s="187"/>
      <c r="I1628" s="187"/>
      <c r="J1628" s="187"/>
      <c r="K1628" s="187"/>
      <c r="L1628" s="187"/>
      <c r="M1628" s="187"/>
      <c r="N1628" s="187"/>
      <c r="O1628" s="187"/>
      <c r="P1628" s="187"/>
      <c r="Q1628" s="187"/>
      <c r="R1628" s="187"/>
      <c r="S1628" s="188"/>
    </row>
    <row r="1629" spans="2:19" ht="12.75">
      <c r="B1629" s="185"/>
      <c r="C1629" s="186"/>
      <c r="D1629" s="187"/>
      <c r="E1629" s="187"/>
      <c r="F1629" s="187"/>
      <c r="G1629" s="187"/>
      <c r="H1629" s="187"/>
      <c r="I1629" s="187"/>
      <c r="J1629" s="187"/>
      <c r="K1629" s="187"/>
      <c r="L1629" s="187"/>
      <c r="M1629" s="187"/>
      <c r="N1629" s="187"/>
      <c r="O1629" s="187"/>
      <c r="P1629" s="187"/>
      <c r="Q1629" s="187"/>
      <c r="R1629" s="187"/>
      <c r="S1629" s="188"/>
    </row>
    <row r="1630" spans="2:19" ht="12.75">
      <c r="B1630" s="185"/>
      <c r="C1630" s="186"/>
      <c r="D1630" s="187"/>
      <c r="E1630" s="187"/>
      <c r="F1630" s="187"/>
      <c r="G1630" s="187"/>
      <c r="H1630" s="187"/>
      <c r="I1630" s="187"/>
      <c r="J1630" s="187"/>
      <c r="K1630" s="187"/>
      <c r="L1630" s="187"/>
      <c r="M1630" s="187"/>
      <c r="N1630" s="187"/>
      <c r="O1630" s="187"/>
      <c r="P1630" s="187"/>
      <c r="Q1630" s="187"/>
      <c r="R1630" s="187"/>
      <c r="S1630" s="188"/>
    </row>
    <row r="1631" spans="2:19" ht="12.75">
      <c r="B1631" s="185"/>
      <c r="C1631" s="186"/>
      <c r="D1631" s="187"/>
      <c r="E1631" s="187"/>
      <c r="F1631" s="187"/>
      <c r="G1631" s="187"/>
      <c r="H1631" s="187"/>
      <c r="I1631" s="187"/>
      <c r="J1631" s="187"/>
      <c r="K1631" s="187"/>
      <c r="L1631" s="187"/>
      <c r="M1631" s="187"/>
      <c r="N1631" s="187"/>
      <c r="O1631" s="187"/>
      <c r="P1631" s="187"/>
      <c r="Q1631" s="187"/>
      <c r="R1631" s="187"/>
      <c r="S1631" s="188"/>
    </row>
    <row r="1632" spans="2:19" ht="12.75">
      <c r="B1632" s="185"/>
      <c r="C1632" s="186"/>
      <c r="D1632" s="187"/>
      <c r="E1632" s="187"/>
      <c r="F1632" s="187"/>
      <c r="G1632" s="187"/>
      <c r="H1632" s="187"/>
      <c r="I1632" s="187"/>
      <c r="J1632" s="187"/>
      <c r="K1632" s="187"/>
      <c r="L1632" s="187"/>
      <c r="M1632" s="187"/>
      <c r="N1632" s="187"/>
      <c r="O1632" s="187"/>
      <c r="P1632" s="187"/>
      <c r="Q1632" s="187"/>
      <c r="R1632" s="187"/>
      <c r="S1632" s="188"/>
    </row>
    <row r="1633" spans="2:19" ht="12.75">
      <c r="B1633" s="185"/>
      <c r="C1633" s="186"/>
      <c r="D1633" s="187"/>
      <c r="E1633" s="187"/>
      <c r="F1633" s="187"/>
      <c r="G1633" s="187"/>
      <c r="H1633" s="187"/>
      <c r="I1633" s="187"/>
      <c r="J1633" s="187"/>
      <c r="K1633" s="187"/>
      <c r="L1633" s="187"/>
      <c r="M1633" s="187"/>
      <c r="N1633" s="187"/>
      <c r="O1633" s="187"/>
      <c r="P1633" s="187"/>
      <c r="Q1633" s="187"/>
      <c r="R1633" s="187"/>
      <c r="S1633" s="188"/>
    </row>
    <row r="1634" spans="2:19" ht="12.75">
      <c r="B1634" s="185"/>
      <c r="C1634" s="186"/>
      <c r="D1634" s="187"/>
      <c r="E1634" s="187"/>
      <c r="F1634" s="187"/>
      <c r="G1634" s="187"/>
      <c r="H1634" s="187"/>
      <c r="I1634" s="187"/>
      <c r="J1634" s="187"/>
      <c r="K1634" s="187"/>
      <c r="L1634" s="187"/>
      <c r="M1634" s="187"/>
      <c r="N1634" s="187"/>
      <c r="O1634" s="187"/>
      <c r="P1634" s="187"/>
      <c r="Q1634" s="187"/>
      <c r="R1634" s="187"/>
      <c r="S1634" s="188"/>
    </row>
    <row r="1635" spans="2:19" ht="12.75">
      <c r="B1635" s="185"/>
      <c r="C1635" s="186"/>
      <c r="D1635" s="187"/>
      <c r="E1635" s="187"/>
      <c r="F1635" s="187"/>
      <c r="G1635" s="187"/>
      <c r="H1635" s="187"/>
      <c r="I1635" s="187"/>
      <c r="J1635" s="187"/>
      <c r="K1635" s="187"/>
      <c r="L1635" s="187"/>
      <c r="M1635" s="187"/>
      <c r="N1635" s="187"/>
      <c r="O1635" s="187"/>
      <c r="P1635" s="187"/>
      <c r="Q1635" s="187"/>
      <c r="R1635" s="187"/>
      <c r="S1635" s="188"/>
    </row>
    <row r="1636" spans="2:19" ht="12.75">
      <c r="B1636" s="185"/>
      <c r="C1636" s="186"/>
      <c r="D1636" s="187"/>
      <c r="E1636" s="187"/>
      <c r="F1636" s="187"/>
      <c r="G1636" s="187"/>
      <c r="H1636" s="187"/>
      <c r="I1636" s="187"/>
      <c r="J1636" s="187"/>
      <c r="K1636" s="187"/>
      <c r="L1636" s="187"/>
      <c r="M1636" s="187"/>
      <c r="N1636" s="187"/>
      <c r="O1636" s="187"/>
      <c r="P1636" s="187"/>
      <c r="Q1636" s="187"/>
      <c r="R1636" s="187"/>
      <c r="S1636" s="188"/>
    </row>
    <row r="1637" spans="2:19" ht="12.75">
      <c r="B1637" s="185"/>
      <c r="C1637" s="186"/>
      <c r="D1637" s="187"/>
      <c r="E1637" s="187"/>
      <c r="F1637" s="187"/>
      <c r="G1637" s="187"/>
      <c r="H1637" s="187"/>
      <c r="I1637" s="187"/>
      <c r="J1637" s="187"/>
      <c r="K1637" s="187"/>
      <c r="L1637" s="187"/>
      <c r="M1637" s="187"/>
      <c r="N1637" s="187"/>
      <c r="O1637" s="187"/>
      <c r="P1637" s="187"/>
      <c r="Q1637" s="187"/>
      <c r="R1637" s="187"/>
      <c r="S1637" s="188"/>
    </row>
    <row r="1638" spans="2:19" ht="12.75">
      <c r="B1638" s="185"/>
      <c r="C1638" s="186"/>
      <c r="D1638" s="187"/>
      <c r="E1638" s="187"/>
      <c r="F1638" s="187"/>
      <c r="G1638" s="187"/>
      <c r="H1638" s="187"/>
      <c r="I1638" s="187"/>
      <c r="J1638" s="187"/>
      <c r="K1638" s="187"/>
      <c r="L1638" s="187"/>
      <c r="M1638" s="187"/>
      <c r="N1638" s="187"/>
      <c r="O1638" s="187"/>
      <c r="P1638" s="187"/>
      <c r="Q1638" s="187"/>
      <c r="R1638" s="187"/>
      <c r="S1638" s="188"/>
    </row>
    <row r="1639" spans="2:19" ht="12.75">
      <c r="B1639" s="185"/>
      <c r="C1639" s="186"/>
      <c r="D1639" s="187"/>
      <c r="E1639" s="187"/>
      <c r="F1639" s="187"/>
      <c r="G1639" s="187"/>
      <c r="H1639" s="187"/>
      <c r="I1639" s="187"/>
      <c r="J1639" s="187"/>
      <c r="K1639" s="187"/>
      <c r="L1639" s="187"/>
      <c r="M1639" s="187"/>
      <c r="N1639" s="187"/>
      <c r="O1639" s="187"/>
      <c r="P1639" s="187"/>
      <c r="Q1639" s="187"/>
      <c r="R1639" s="187"/>
      <c r="S1639" s="188"/>
    </row>
    <row r="1640" spans="2:19" ht="12.75">
      <c r="B1640" s="185"/>
      <c r="C1640" s="186"/>
      <c r="D1640" s="187"/>
      <c r="E1640" s="187"/>
      <c r="F1640" s="187"/>
      <c r="G1640" s="187"/>
      <c r="H1640" s="187"/>
      <c r="I1640" s="187"/>
      <c r="J1640" s="187"/>
      <c r="K1640" s="187"/>
      <c r="L1640" s="187"/>
      <c r="M1640" s="187"/>
      <c r="N1640" s="187"/>
      <c r="O1640" s="187"/>
      <c r="P1640" s="187"/>
      <c r="Q1640" s="187"/>
      <c r="R1640" s="187"/>
      <c r="S1640" s="188"/>
    </row>
    <row r="1641" spans="2:19" ht="12.75">
      <c r="B1641" s="185"/>
      <c r="C1641" s="186"/>
      <c r="D1641" s="187"/>
      <c r="E1641" s="187"/>
      <c r="F1641" s="187"/>
      <c r="G1641" s="187"/>
      <c r="H1641" s="187"/>
      <c r="I1641" s="187"/>
      <c r="J1641" s="187"/>
      <c r="K1641" s="187"/>
      <c r="L1641" s="187"/>
      <c r="M1641" s="187"/>
      <c r="N1641" s="187"/>
      <c r="O1641" s="187"/>
      <c r="P1641" s="187"/>
      <c r="Q1641" s="187"/>
      <c r="R1641" s="187"/>
      <c r="S1641" s="188"/>
    </row>
    <row r="1642" spans="2:19" ht="12.75">
      <c r="B1642" s="185"/>
      <c r="C1642" s="186"/>
      <c r="D1642" s="187"/>
      <c r="E1642" s="187"/>
      <c r="F1642" s="187"/>
      <c r="G1642" s="187"/>
      <c r="H1642" s="187"/>
      <c r="I1642" s="187"/>
      <c r="J1642" s="187"/>
      <c r="K1642" s="187"/>
      <c r="L1642" s="187"/>
      <c r="M1642" s="187"/>
      <c r="N1642" s="187"/>
      <c r="O1642" s="187"/>
      <c r="P1642" s="187"/>
      <c r="Q1642" s="187"/>
      <c r="R1642" s="187"/>
      <c r="S1642" s="188"/>
    </row>
    <row r="1643" spans="2:19" ht="12.75">
      <c r="B1643" s="185"/>
      <c r="C1643" s="186"/>
      <c r="D1643" s="187"/>
      <c r="E1643" s="187"/>
      <c r="F1643" s="187"/>
      <c r="G1643" s="187"/>
      <c r="H1643" s="187"/>
      <c r="I1643" s="187"/>
      <c r="J1643" s="187"/>
      <c r="K1643" s="187"/>
      <c r="L1643" s="187"/>
      <c r="M1643" s="187"/>
      <c r="N1643" s="187"/>
      <c r="O1643" s="187"/>
      <c r="P1643" s="187"/>
      <c r="Q1643" s="187"/>
      <c r="R1643" s="187"/>
      <c r="S1643" s="188"/>
    </row>
    <row r="1644" spans="2:19" ht="12.75">
      <c r="B1644" s="185"/>
      <c r="C1644" s="186"/>
      <c r="D1644" s="187"/>
      <c r="E1644" s="187"/>
      <c r="F1644" s="187"/>
      <c r="G1644" s="187"/>
      <c r="H1644" s="187"/>
      <c r="I1644" s="187"/>
      <c r="J1644" s="187"/>
      <c r="K1644" s="187"/>
      <c r="L1644" s="187"/>
      <c r="M1644" s="187"/>
      <c r="N1644" s="187"/>
      <c r="O1644" s="187"/>
      <c r="P1644" s="187"/>
      <c r="Q1644" s="187"/>
      <c r="R1644" s="187"/>
      <c r="S1644" s="188"/>
    </row>
    <row r="1645" spans="2:19" ht="12.75">
      <c r="B1645" s="185"/>
      <c r="C1645" s="186"/>
      <c r="D1645" s="187"/>
      <c r="E1645" s="187"/>
      <c r="F1645" s="187"/>
      <c r="G1645" s="187"/>
      <c r="H1645" s="187"/>
      <c r="I1645" s="187"/>
      <c r="J1645" s="187"/>
      <c r="K1645" s="187"/>
      <c r="L1645" s="187"/>
      <c r="M1645" s="187"/>
      <c r="N1645" s="187"/>
      <c r="O1645" s="187"/>
      <c r="P1645" s="187"/>
      <c r="Q1645" s="187"/>
      <c r="R1645" s="187"/>
      <c r="S1645" s="188"/>
    </row>
    <row r="1646" spans="2:19" ht="12.75">
      <c r="B1646" s="185"/>
      <c r="C1646" s="186"/>
      <c r="D1646" s="187"/>
      <c r="E1646" s="187"/>
      <c r="F1646" s="187"/>
      <c r="G1646" s="187"/>
      <c r="H1646" s="187"/>
      <c r="I1646" s="187"/>
      <c r="J1646" s="187"/>
      <c r="K1646" s="187"/>
      <c r="L1646" s="187"/>
      <c r="M1646" s="187"/>
      <c r="N1646" s="187"/>
      <c r="O1646" s="187"/>
      <c r="P1646" s="187"/>
      <c r="Q1646" s="187"/>
      <c r="R1646" s="187"/>
      <c r="S1646" s="188"/>
    </row>
    <row r="1647" spans="2:19" ht="12.75">
      <c r="B1647" s="185"/>
      <c r="C1647" s="186"/>
      <c r="D1647" s="187"/>
      <c r="E1647" s="187"/>
      <c r="F1647" s="187"/>
      <c r="G1647" s="187"/>
      <c r="H1647" s="187"/>
      <c r="I1647" s="187"/>
      <c r="J1647" s="187"/>
      <c r="K1647" s="187"/>
      <c r="L1647" s="187"/>
      <c r="M1647" s="187"/>
      <c r="N1647" s="187"/>
      <c r="O1647" s="187"/>
      <c r="P1647" s="187"/>
      <c r="Q1647" s="187"/>
      <c r="R1647" s="187"/>
      <c r="S1647" s="188"/>
    </row>
    <row r="1648" spans="2:19" ht="12.75">
      <c r="B1648" s="185"/>
      <c r="C1648" s="186"/>
      <c r="D1648" s="187"/>
      <c r="E1648" s="187"/>
      <c r="F1648" s="187"/>
      <c r="G1648" s="187"/>
      <c r="H1648" s="187"/>
      <c r="I1648" s="187"/>
      <c r="J1648" s="187"/>
      <c r="K1648" s="187"/>
      <c r="L1648" s="187"/>
      <c r="M1648" s="187"/>
      <c r="N1648" s="187"/>
      <c r="O1648" s="187"/>
      <c r="P1648" s="187"/>
      <c r="Q1648" s="187"/>
      <c r="R1648" s="187"/>
      <c r="S1648" s="188"/>
    </row>
    <row r="1649" spans="2:19" ht="12.75">
      <c r="B1649" s="185"/>
      <c r="C1649" s="186"/>
      <c r="D1649" s="187"/>
      <c r="E1649" s="187"/>
      <c r="F1649" s="187"/>
      <c r="G1649" s="187"/>
      <c r="H1649" s="187"/>
      <c r="I1649" s="187"/>
      <c r="J1649" s="187"/>
      <c r="K1649" s="187"/>
      <c r="L1649" s="187"/>
      <c r="M1649" s="187"/>
      <c r="N1649" s="187"/>
      <c r="O1649" s="187"/>
      <c r="P1649" s="187"/>
      <c r="Q1649" s="187"/>
      <c r="R1649" s="187"/>
      <c r="S1649" s="188"/>
    </row>
    <row r="1650" spans="2:19" ht="12.75">
      <c r="B1650" s="185"/>
      <c r="C1650" s="186"/>
      <c r="D1650" s="187"/>
      <c r="E1650" s="187"/>
      <c r="F1650" s="187"/>
      <c r="G1650" s="187"/>
      <c r="H1650" s="187"/>
      <c r="I1650" s="187"/>
      <c r="J1650" s="187"/>
      <c r="K1650" s="187"/>
      <c r="L1650" s="187"/>
      <c r="M1650" s="187"/>
      <c r="N1650" s="187"/>
      <c r="O1650" s="187"/>
      <c r="P1650" s="187"/>
      <c r="Q1650" s="187"/>
      <c r="R1650" s="187"/>
      <c r="S1650" s="188"/>
    </row>
    <row r="1651" spans="2:19" ht="12.75">
      <c r="B1651" s="185"/>
      <c r="C1651" s="186"/>
      <c r="D1651" s="187"/>
      <c r="E1651" s="187"/>
      <c r="F1651" s="187"/>
      <c r="G1651" s="187"/>
      <c r="H1651" s="187"/>
      <c r="I1651" s="187"/>
      <c r="J1651" s="187"/>
      <c r="K1651" s="187"/>
      <c r="L1651" s="187"/>
      <c r="M1651" s="187"/>
      <c r="N1651" s="187"/>
      <c r="O1651" s="187"/>
      <c r="P1651" s="187"/>
      <c r="Q1651" s="187"/>
      <c r="R1651" s="187"/>
      <c r="S1651" s="188"/>
    </row>
    <row r="1652" spans="2:19" ht="12.75">
      <c r="B1652" s="185"/>
      <c r="C1652" s="186"/>
      <c r="D1652" s="187"/>
      <c r="E1652" s="187"/>
      <c r="F1652" s="187"/>
      <c r="G1652" s="187"/>
      <c r="H1652" s="187"/>
      <c r="I1652" s="187"/>
      <c r="J1652" s="187"/>
      <c r="K1652" s="187"/>
      <c r="L1652" s="187"/>
      <c r="M1652" s="187"/>
      <c r="N1652" s="187"/>
      <c r="O1652" s="187"/>
      <c r="P1652" s="187"/>
      <c r="Q1652" s="187"/>
      <c r="R1652" s="187"/>
      <c r="S1652" s="188"/>
    </row>
    <row r="1653" spans="2:19" ht="12.75">
      <c r="B1653" s="185"/>
      <c r="C1653" s="186"/>
      <c r="D1653" s="187"/>
      <c r="E1653" s="187"/>
      <c r="F1653" s="187"/>
      <c r="G1653" s="187"/>
      <c r="H1653" s="187"/>
      <c r="I1653" s="187"/>
      <c r="J1653" s="187"/>
      <c r="K1653" s="187"/>
      <c r="L1653" s="187"/>
      <c r="M1653" s="187"/>
      <c r="N1653" s="187"/>
      <c r="O1653" s="187"/>
      <c r="P1653" s="187"/>
      <c r="Q1653" s="187"/>
      <c r="R1653" s="187"/>
      <c r="S1653" s="188"/>
    </row>
    <row r="1654" spans="2:19" ht="12.75">
      <c r="B1654" s="185"/>
      <c r="C1654" s="186"/>
      <c r="D1654" s="187"/>
      <c r="E1654" s="187"/>
      <c r="F1654" s="187"/>
      <c r="G1654" s="187"/>
      <c r="H1654" s="187"/>
      <c r="I1654" s="187"/>
      <c r="J1654" s="187"/>
      <c r="K1654" s="187"/>
      <c r="L1654" s="187"/>
      <c r="M1654" s="187"/>
      <c r="N1654" s="187"/>
      <c r="O1654" s="187"/>
      <c r="P1654" s="187"/>
      <c r="Q1654" s="187"/>
      <c r="R1654" s="187"/>
      <c r="S1654" s="188"/>
    </row>
    <row r="1655" spans="2:19" ht="12.75">
      <c r="B1655" s="185"/>
      <c r="C1655" s="186"/>
      <c r="D1655" s="187"/>
      <c r="E1655" s="187"/>
      <c r="F1655" s="187"/>
      <c r="G1655" s="187"/>
      <c r="H1655" s="187"/>
      <c r="I1655" s="187"/>
      <c r="J1655" s="187"/>
      <c r="K1655" s="187"/>
      <c r="L1655" s="187"/>
      <c r="M1655" s="187"/>
      <c r="N1655" s="187"/>
      <c r="O1655" s="187"/>
      <c r="P1655" s="187"/>
      <c r="Q1655" s="187"/>
      <c r="R1655" s="187"/>
      <c r="S1655" s="188"/>
    </row>
    <row r="1656" spans="2:19" ht="12.75">
      <c r="B1656" s="185"/>
      <c r="C1656" s="186"/>
      <c r="D1656" s="187"/>
      <c r="E1656" s="187"/>
      <c r="F1656" s="187"/>
      <c r="G1656" s="187"/>
      <c r="H1656" s="187"/>
      <c r="I1656" s="187"/>
      <c r="J1656" s="187"/>
      <c r="K1656" s="187"/>
      <c r="L1656" s="187"/>
      <c r="M1656" s="187"/>
      <c r="N1656" s="187"/>
      <c r="O1656" s="187"/>
      <c r="P1656" s="187"/>
      <c r="Q1656" s="187"/>
      <c r="R1656" s="187"/>
      <c r="S1656" s="188"/>
    </row>
    <row r="1657" spans="2:19" ht="12.75">
      <c r="B1657" s="185"/>
      <c r="C1657" s="186"/>
      <c r="D1657" s="187"/>
      <c r="E1657" s="187"/>
      <c r="F1657" s="187"/>
      <c r="G1657" s="187"/>
      <c r="H1657" s="187"/>
      <c r="I1657" s="187"/>
      <c r="J1657" s="187"/>
      <c r="K1657" s="187"/>
      <c r="L1657" s="187"/>
      <c r="M1657" s="187"/>
      <c r="N1657" s="187"/>
      <c r="O1657" s="187"/>
      <c r="P1657" s="187"/>
      <c r="Q1657" s="187"/>
      <c r="R1657" s="187"/>
      <c r="S1657" s="188"/>
    </row>
    <row r="1658" spans="2:19" ht="12.75">
      <c r="B1658" s="185"/>
      <c r="C1658" s="186"/>
      <c r="D1658" s="187"/>
      <c r="E1658" s="187"/>
      <c r="F1658" s="187"/>
      <c r="G1658" s="187"/>
      <c r="H1658" s="187"/>
      <c r="I1658" s="187"/>
      <c r="J1658" s="187"/>
      <c r="K1658" s="187"/>
      <c r="L1658" s="187"/>
      <c r="M1658" s="187"/>
      <c r="N1658" s="187"/>
      <c r="O1658" s="187"/>
      <c r="P1658" s="187"/>
      <c r="Q1658" s="187"/>
      <c r="R1658" s="187"/>
      <c r="S1658" s="188"/>
    </row>
    <row r="1659" spans="2:19" ht="12.75">
      <c r="B1659" s="185"/>
      <c r="C1659" s="186"/>
      <c r="D1659" s="187"/>
      <c r="E1659" s="187"/>
      <c r="F1659" s="187"/>
      <c r="G1659" s="187"/>
      <c r="H1659" s="187"/>
      <c r="I1659" s="187"/>
      <c r="J1659" s="187"/>
      <c r="K1659" s="187"/>
      <c r="L1659" s="187"/>
      <c r="M1659" s="187"/>
      <c r="N1659" s="187"/>
      <c r="O1659" s="187"/>
      <c r="P1659" s="187"/>
      <c r="Q1659" s="187"/>
      <c r="R1659" s="187"/>
      <c r="S1659" s="188"/>
    </row>
    <row r="1660" spans="2:19" ht="12.75">
      <c r="B1660" s="185"/>
      <c r="C1660" s="186"/>
      <c r="D1660" s="187"/>
      <c r="E1660" s="187"/>
      <c r="F1660" s="187"/>
      <c r="G1660" s="187"/>
      <c r="H1660" s="187"/>
      <c r="I1660" s="187"/>
      <c r="J1660" s="187"/>
      <c r="K1660" s="187"/>
      <c r="L1660" s="187"/>
      <c r="M1660" s="187"/>
      <c r="N1660" s="187"/>
      <c r="O1660" s="187"/>
      <c r="P1660" s="187"/>
      <c r="Q1660" s="187"/>
      <c r="R1660" s="187"/>
      <c r="S1660" s="188"/>
    </row>
    <row r="1661" spans="2:19" ht="12.75">
      <c r="B1661" s="185"/>
      <c r="C1661" s="186"/>
      <c r="D1661" s="187"/>
      <c r="E1661" s="187"/>
      <c r="F1661" s="187"/>
      <c r="G1661" s="187"/>
      <c r="H1661" s="187"/>
      <c r="I1661" s="187"/>
      <c r="J1661" s="187"/>
      <c r="K1661" s="187"/>
      <c r="L1661" s="187"/>
      <c r="M1661" s="187"/>
      <c r="N1661" s="187"/>
      <c r="O1661" s="187"/>
      <c r="P1661" s="187"/>
      <c r="Q1661" s="187"/>
      <c r="R1661" s="187"/>
      <c r="S1661" s="188"/>
    </row>
    <row r="1662" spans="2:19" ht="12.75">
      <c r="B1662" s="185"/>
      <c r="C1662" s="186"/>
      <c r="D1662" s="187"/>
      <c r="E1662" s="187"/>
      <c r="F1662" s="187"/>
      <c r="G1662" s="187"/>
      <c r="H1662" s="187"/>
      <c r="I1662" s="187"/>
      <c r="J1662" s="187"/>
      <c r="K1662" s="187"/>
      <c r="L1662" s="187"/>
      <c r="M1662" s="187"/>
      <c r="N1662" s="187"/>
      <c r="O1662" s="187"/>
      <c r="P1662" s="187"/>
      <c r="Q1662" s="187"/>
      <c r="R1662" s="187"/>
      <c r="S1662" s="188"/>
    </row>
    <row r="1663" spans="2:19" ht="12.75">
      <c r="B1663" s="185"/>
      <c r="C1663" s="186"/>
      <c r="D1663" s="187"/>
      <c r="E1663" s="187"/>
      <c r="F1663" s="187"/>
      <c r="G1663" s="187"/>
      <c r="H1663" s="187"/>
      <c r="I1663" s="187"/>
      <c r="J1663" s="187"/>
      <c r="K1663" s="187"/>
      <c r="L1663" s="187"/>
      <c r="M1663" s="187"/>
      <c r="N1663" s="187"/>
      <c r="O1663" s="187"/>
      <c r="P1663" s="187"/>
      <c r="Q1663" s="187"/>
      <c r="R1663" s="187"/>
      <c r="S1663" s="188"/>
    </row>
    <row r="1664" spans="2:19" ht="12.75">
      <c r="B1664" s="185"/>
      <c r="C1664" s="186"/>
      <c r="D1664" s="187"/>
      <c r="E1664" s="187"/>
      <c r="F1664" s="187"/>
      <c r="G1664" s="187"/>
      <c r="H1664" s="187"/>
      <c r="I1664" s="187"/>
      <c r="J1664" s="187"/>
      <c r="K1664" s="187"/>
      <c r="L1664" s="187"/>
      <c r="M1664" s="187"/>
      <c r="N1664" s="187"/>
      <c r="O1664" s="187"/>
      <c r="P1664" s="187"/>
      <c r="Q1664" s="187"/>
      <c r="R1664" s="187"/>
      <c r="S1664" s="188"/>
    </row>
    <row r="1665" spans="2:19" ht="12.75">
      <c r="B1665" s="185"/>
      <c r="C1665" s="186"/>
      <c r="D1665" s="187"/>
      <c r="E1665" s="187"/>
      <c r="F1665" s="187"/>
      <c r="G1665" s="187"/>
      <c r="H1665" s="187"/>
      <c r="I1665" s="187"/>
      <c r="J1665" s="187"/>
      <c r="K1665" s="187"/>
      <c r="L1665" s="187"/>
      <c r="M1665" s="187"/>
      <c r="N1665" s="187"/>
      <c r="O1665" s="187"/>
      <c r="P1665" s="187"/>
      <c r="Q1665" s="187"/>
      <c r="R1665" s="187"/>
      <c r="S1665" s="188"/>
    </row>
    <row r="1666" spans="2:19" ht="12.75">
      <c r="B1666" s="185"/>
      <c r="C1666" s="186"/>
      <c r="D1666" s="187"/>
      <c r="E1666" s="187"/>
      <c r="F1666" s="187"/>
      <c r="G1666" s="187"/>
      <c r="H1666" s="187"/>
      <c r="I1666" s="187"/>
      <c r="J1666" s="187"/>
      <c r="K1666" s="187"/>
      <c r="L1666" s="187"/>
      <c r="M1666" s="187"/>
      <c r="N1666" s="187"/>
      <c r="O1666" s="187"/>
      <c r="P1666" s="187"/>
      <c r="Q1666" s="187"/>
      <c r="R1666" s="187"/>
      <c r="S1666" s="188"/>
    </row>
    <row r="1667" spans="2:19" ht="12.75">
      <c r="B1667" s="185"/>
      <c r="C1667" s="186"/>
      <c r="D1667" s="187"/>
      <c r="E1667" s="187"/>
      <c r="F1667" s="187"/>
      <c r="G1667" s="187"/>
      <c r="H1667" s="187"/>
      <c r="I1667" s="187"/>
      <c r="J1667" s="187"/>
      <c r="K1667" s="187"/>
      <c r="L1667" s="187"/>
      <c r="M1667" s="187"/>
      <c r="N1667" s="187"/>
      <c r="O1667" s="187"/>
      <c r="P1667" s="187"/>
      <c r="Q1667" s="187"/>
      <c r="R1667" s="187"/>
      <c r="S1667" s="188"/>
    </row>
    <row r="1668" spans="2:19" ht="12.75">
      <c r="B1668" s="185"/>
      <c r="C1668" s="186"/>
      <c r="D1668" s="187"/>
      <c r="E1668" s="187"/>
      <c r="F1668" s="187"/>
      <c r="G1668" s="187"/>
      <c r="H1668" s="187"/>
      <c r="I1668" s="187"/>
      <c r="J1668" s="187"/>
      <c r="K1668" s="187"/>
      <c r="L1668" s="187"/>
      <c r="M1668" s="187"/>
      <c r="N1668" s="187"/>
      <c r="O1668" s="187"/>
      <c r="P1668" s="187"/>
      <c r="Q1668" s="187"/>
      <c r="R1668" s="187"/>
      <c r="S1668" s="188"/>
    </row>
    <row r="1669" spans="2:19" ht="12.75">
      <c r="B1669" s="185"/>
      <c r="C1669" s="186"/>
      <c r="D1669" s="187"/>
      <c r="E1669" s="187"/>
      <c r="F1669" s="187"/>
      <c r="G1669" s="187"/>
      <c r="H1669" s="187"/>
      <c r="I1669" s="187"/>
      <c r="J1669" s="187"/>
      <c r="K1669" s="187"/>
      <c r="L1669" s="187"/>
      <c r="M1669" s="187"/>
      <c r="N1669" s="187"/>
      <c r="O1669" s="187"/>
      <c r="P1669" s="187"/>
      <c r="Q1669" s="187"/>
      <c r="R1669" s="187"/>
      <c r="S1669" s="188"/>
    </row>
    <row r="1670" spans="2:19" ht="12.75">
      <c r="B1670" s="185"/>
      <c r="C1670" s="186"/>
      <c r="D1670" s="187"/>
      <c r="E1670" s="187"/>
      <c r="F1670" s="187"/>
      <c r="G1670" s="187"/>
      <c r="H1670" s="187"/>
      <c r="I1670" s="187"/>
      <c r="J1670" s="187"/>
      <c r="K1670" s="187"/>
      <c r="L1670" s="187"/>
      <c r="M1670" s="187"/>
      <c r="N1670" s="187"/>
      <c r="O1670" s="187"/>
      <c r="P1670" s="187"/>
      <c r="Q1670" s="187"/>
      <c r="R1670" s="187"/>
      <c r="S1670" s="188"/>
    </row>
    <row r="1671" spans="2:19" ht="12.75">
      <c r="B1671" s="185"/>
      <c r="C1671" s="186"/>
      <c r="D1671" s="187"/>
      <c r="E1671" s="187"/>
      <c r="F1671" s="187"/>
      <c r="G1671" s="187"/>
      <c r="H1671" s="187"/>
      <c r="I1671" s="187"/>
      <c r="J1671" s="187"/>
      <c r="K1671" s="187"/>
      <c r="L1671" s="187"/>
      <c r="M1671" s="187"/>
      <c r="N1671" s="187"/>
      <c r="O1671" s="187"/>
      <c r="P1671" s="187"/>
      <c r="Q1671" s="187"/>
      <c r="R1671" s="187"/>
      <c r="S1671" s="188"/>
    </row>
    <row r="1672" spans="2:19" ht="12.75">
      <c r="B1672" s="185"/>
      <c r="C1672" s="186"/>
      <c r="D1672" s="187"/>
      <c r="E1672" s="187"/>
      <c r="F1672" s="187"/>
      <c r="G1672" s="187"/>
      <c r="H1672" s="187"/>
      <c r="I1672" s="187"/>
      <c r="J1672" s="187"/>
      <c r="K1672" s="187"/>
      <c r="L1672" s="187"/>
      <c r="M1672" s="187"/>
      <c r="N1672" s="187"/>
      <c r="O1672" s="187"/>
      <c r="P1672" s="187"/>
      <c r="Q1672" s="187"/>
      <c r="R1672" s="187"/>
      <c r="S1672" s="188"/>
    </row>
    <row r="1673" spans="2:19" ht="12.75">
      <c r="B1673" s="185"/>
      <c r="C1673" s="186"/>
      <c r="D1673" s="187"/>
      <c r="E1673" s="187"/>
      <c r="F1673" s="187"/>
      <c r="G1673" s="187"/>
      <c r="H1673" s="187"/>
      <c r="I1673" s="187"/>
      <c r="J1673" s="187"/>
      <c r="K1673" s="187"/>
      <c r="L1673" s="187"/>
      <c r="M1673" s="187"/>
      <c r="N1673" s="187"/>
      <c r="O1673" s="187"/>
      <c r="P1673" s="187"/>
      <c r="Q1673" s="187"/>
      <c r="R1673" s="187"/>
      <c r="S1673" s="188"/>
    </row>
    <row r="1674" spans="2:19" ht="12.75">
      <c r="B1674" s="185"/>
      <c r="C1674" s="186"/>
      <c r="D1674" s="187"/>
      <c r="E1674" s="187"/>
      <c r="F1674" s="187"/>
      <c r="G1674" s="187"/>
      <c r="H1674" s="187"/>
      <c r="I1674" s="187"/>
      <c r="J1674" s="187"/>
      <c r="K1674" s="187"/>
      <c r="L1674" s="187"/>
      <c r="M1674" s="187"/>
      <c r="N1674" s="187"/>
      <c r="O1674" s="187"/>
      <c r="P1674" s="187"/>
      <c r="Q1674" s="187"/>
      <c r="R1674" s="187"/>
      <c r="S1674" s="188"/>
    </row>
    <row r="1675" spans="2:19" ht="12.75">
      <c r="B1675" s="185"/>
      <c r="C1675" s="186"/>
      <c r="D1675" s="187"/>
      <c r="E1675" s="187"/>
      <c r="F1675" s="187"/>
      <c r="G1675" s="187"/>
      <c r="H1675" s="187"/>
      <c r="I1675" s="187"/>
      <c r="J1675" s="187"/>
      <c r="K1675" s="187"/>
      <c r="L1675" s="187"/>
      <c r="M1675" s="187"/>
      <c r="N1675" s="187"/>
      <c r="O1675" s="187"/>
      <c r="P1675" s="187"/>
      <c r="Q1675" s="187"/>
      <c r="R1675" s="187"/>
      <c r="S1675" s="188"/>
    </row>
    <row r="1676" spans="2:19" ht="12.75">
      <c r="B1676" s="185"/>
      <c r="C1676" s="186"/>
      <c r="D1676" s="187"/>
      <c r="E1676" s="187"/>
      <c r="F1676" s="187"/>
      <c r="G1676" s="187"/>
      <c r="H1676" s="187"/>
      <c r="I1676" s="187"/>
      <c r="J1676" s="187"/>
      <c r="K1676" s="187"/>
      <c r="L1676" s="187"/>
      <c r="M1676" s="187"/>
      <c r="N1676" s="187"/>
      <c r="O1676" s="187"/>
      <c r="P1676" s="187"/>
      <c r="Q1676" s="187"/>
      <c r="R1676" s="187"/>
      <c r="S1676" s="188"/>
    </row>
    <row r="1677" spans="2:19" ht="12.75">
      <c r="B1677" s="185"/>
      <c r="C1677" s="186"/>
      <c r="D1677" s="187"/>
      <c r="E1677" s="187"/>
      <c r="F1677" s="187"/>
      <c r="G1677" s="187"/>
      <c r="H1677" s="187"/>
      <c r="I1677" s="187"/>
      <c r="J1677" s="187"/>
      <c r="K1677" s="187"/>
      <c r="L1677" s="187"/>
      <c r="M1677" s="187"/>
      <c r="N1677" s="187"/>
      <c r="O1677" s="187"/>
      <c r="P1677" s="187"/>
      <c r="Q1677" s="187"/>
      <c r="R1677" s="187"/>
      <c r="S1677" s="188"/>
    </row>
    <row r="1678" spans="2:19" ht="12.75">
      <c r="B1678" s="185"/>
      <c r="C1678" s="186"/>
      <c r="D1678" s="187"/>
      <c r="E1678" s="187"/>
      <c r="F1678" s="187"/>
      <c r="G1678" s="187"/>
      <c r="H1678" s="187"/>
      <c r="I1678" s="187"/>
      <c r="J1678" s="187"/>
      <c r="K1678" s="187"/>
      <c r="L1678" s="187"/>
      <c r="M1678" s="187"/>
      <c r="N1678" s="187"/>
      <c r="O1678" s="187"/>
      <c r="P1678" s="187"/>
      <c r="Q1678" s="187"/>
      <c r="R1678" s="187"/>
      <c r="S1678" s="188"/>
    </row>
    <row r="1679" spans="2:19" ht="12.75">
      <c r="B1679" s="185"/>
      <c r="C1679" s="186"/>
      <c r="D1679" s="187"/>
      <c r="E1679" s="187"/>
      <c r="F1679" s="187"/>
      <c r="G1679" s="187"/>
      <c r="H1679" s="187"/>
      <c r="I1679" s="187"/>
      <c r="J1679" s="187"/>
      <c r="K1679" s="187"/>
      <c r="L1679" s="187"/>
      <c r="M1679" s="187"/>
      <c r="N1679" s="187"/>
      <c r="O1679" s="187"/>
      <c r="P1679" s="187"/>
      <c r="Q1679" s="187"/>
      <c r="R1679" s="187"/>
      <c r="S1679" s="188"/>
    </row>
    <row r="1680" spans="2:19" ht="12.75">
      <c r="B1680" s="185"/>
      <c r="C1680" s="186"/>
      <c r="D1680" s="187"/>
      <c r="E1680" s="187"/>
      <c r="F1680" s="187"/>
      <c r="G1680" s="187"/>
      <c r="H1680" s="187"/>
      <c r="I1680" s="187"/>
      <c r="J1680" s="187"/>
      <c r="K1680" s="187"/>
      <c r="L1680" s="187"/>
      <c r="M1680" s="187"/>
      <c r="N1680" s="187"/>
      <c r="O1680" s="187"/>
      <c r="P1680" s="187"/>
      <c r="Q1680" s="187"/>
      <c r="R1680" s="187"/>
      <c r="S1680" s="188"/>
    </row>
    <row r="1681" spans="2:19" ht="12.75">
      <c r="B1681" s="185"/>
      <c r="C1681" s="186"/>
      <c r="D1681" s="187"/>
      <c r="E1681" s="187"/>
      <c r="F1681" s="187"/>
      <c r="G1681" s="187"/>
      <c r="H1681" s="187"/>
      <c r="I1681" s="187"/>
      <c r="J1681" s="187"/>
      <c r="K1681" s="187"/>
      <c r="L1681" s="187"/>
      <c r="M1681" s="187"/>
      <c r="N1681" s="187"/>
      <c r="O1681" s="187"/>
      <c r="P1681" s="187"/>
      <c r="Q1681" s="187"/>
      <c r="R1681" s="187"/>
      <c r="S1681" s="188"/>
    </row>
    <row r="1682" spans="2:19" ht="12.75">
      <c r="B1682" s="185"/>
      <c r="C1682" s="186"/>
      <c r="D1682" s="187"/>
      <c r="E1682" s="187"/>
      <c r="F1682" s="187"/>
      <c r="G1682" s="187"/>
      <c r="H1682" s="187"/>
      <c r="I1682" s="187"/>
      <c r="J1682" s="187"/>
      <c r="K1682" s="187"/>
      <c r="L1682" s="187"/>
      <c r="M1682" s="187"/>
      <c r="N1682" s="187"/>
      <c r="O1682" s="187"/>
      <c r="P1682" s="187"/>
      <c r="Q1682" s="187"/>
      <c r="R1682" s="187"/>
      <c r="S1682" s="188"/>
    </row>
    <row r="1683" spans="2:19" ht="12.75">
      <c r="B1683" s="185"/>
      <c r="C1683" s="186"/>
      <c r="D1683" s="187"/>
      <c r="E1683" s="187"/>
      <c r="F1683" s="187"/>
      <c r="G1683" s="187"/>
      <c r="H1683" s="187"/>
      <c r="I1683" s="187"/>
      <c r="J1683" s="187"/>
      <c r="K1683" s="187"/>
      <c r="L1683" s="187"/>
      <c r="M1683" s="187"/>
      <c r="N1683" s="187"/>
      <c r="O1683" s="187"/>
      <c r="P1683" s="187"/>
      <c r="Q1683" s="187"/>
      <c r="R1683" s="187"/>
      <c r="S1683" s="188"/>
    </row>
    <row r="1684" spans="2:19" ht="12.75">
      <c r="B1684" s="185"/>
      <c r="C1684" s="186"/>
      <c r="D1684" s="187"/>
      <c r="E1684" s="187"/>
      <c r="F1684" s="187"/>
      <c r="G1684" s="187"/>
      <c r="H1684" s="187"/>
      <c r="I1684" s="187"/>
      <c r="J1684" s="187"/>
      <c r="K1684" s="187"/>
      <c r="L1684" s="187"/>
      <c r="M1684" s="187"/>
      <c r="N1684" s="187"/>
      <c r="O1684" s="187"/>
      <c r="P1684" s="187"/>
      <c r="Q1684" s="187"/>
      <c r="R1684" s="187"/>
      <c r="S1684" s="188"/>
    </row>
    <row r="1685" spans="2:19" ht="12.75">
      <c r="B1685" s="185"/>
      <c r="C1685" s="186"/>
      <c r="D1685" s="187"/>
      <c r="E1685" s="187"/>
      <c r="F1685" s="187"/>
      <c r="G1685" s="187"/>
      <c r="H1685" s="187"/>
      <c r="I1685" s="187"/>
      <c r="J1685" s="187"/>
      <c r="K1685" s="187"/>
      <c r="L1685" s="187"/>
      <c r="M1685" s="187"/>
      <c r="N1685" s="187"/>
      <c r="O1685" s="187"/>
      <c r="P1685" s="187"/>
      <c r="Q1685" s="187"/>
      <c r="R1685" s="187"/>
      <c r="S1685" s="188"/>
    </row>
    <row r="1686" spans="2:19" ht="12.75">
      <c r="B1686" s="185"/>
      <c r="C1686" s="186"/>
      <c r="D1686" s="187"/>
      <c r="E1686" s="187"/>
      <c r="F1686" s="187"/>
      <c r="G1686" s="187"/>
      <c r="H1686" s="187"/>
      <c r="I1686" s="187"/>
      <c r="J1686" s="187"/>
      <c r="K1686" s="187"/>
      <c r="L1686" s="187"/>
      <c r="M1686" s="187"/>
      <c r="N1686" s="187"/>
      <c r="O1686" s="187"/>
      <c r="P1686" s="187"/>
      <c r="Q1686" s="187"/>
      <c r="R1686" s="187"/>
      <c r="S1686" s="188"/>
    </row>
    <row r="1687" spans="2:19" ht="12.75">
      <c r="B1687" s="185"/>
      <c r="C1687" s="186"/>
      <c r="D1687" s="187"/>
      <c r="E1687" s="187"/>
      <c r="F1687" s="187"/>
      <c r="G1687" s="187"/>
      <c r="H1687" s="187"/>
      <c r="I1687" s="187"/>
      <c r="J1687" s="187"/>
      <c r="K1687" s="187"/>
      <c r="L1687" s="187"/>
      <c r="M1687" s="187"/>
      <c r="N1687" s="187"/>
      <c r="O1687" s="187"/>
      <c r="P1687" s="187"/>
      <c r="Q1687" s="187"/>
      <c r="R1687" s="187"/>
      <c r="S1687" s="188"/>
    </row>
    <row r="1688" spans="2:19" ht="12.75">
      <c r="B1688" s="185"/>
      <c r="C1688" s="186"/>
      <c r="D1688" s="187"/>
      <c r="E1688" s="187"/>
      <c r="F1688" s="187"/>
      <c r="G1688" s="187"/>
      <c r="H1688" s="187"/>
      <c r="I1688" s="187"/>
      <c r="J1688" s="187"/>
      <c r="K1688" s="187"/>
      <c r="L1688" s="187"/>
      <c r="M1688" s="187"/>
      <c r="N1688" s="187"/>
      <c r="O1688" s="187"/>
      <c r="P1688" s="187"/>
      <c r="Q1688" s="187"/>
      <c r="R1688" s="187"/>
      <c r="S1688" s="188"/>
    </row>
    <row r="1689" spans="2:19" ht="12.75">
      <c r="B1689" s="185"/>
      <c r="C1689" s="186"/>
      <c r="D1689" s="187"/>
      <c r="E1689" s="187"/>
      <c r="F1689" s="187"/>
      <c r="G1689" s="187"/>
      <c r="H1689" s="187"/>
      <c r="I1689" s="187"/>
      <c r="J1689" s="187"/>
      <c r="K1689" s="187"/>
      <c r="L1689" s="187"/>
      <c r="M1689" s="187"/>
      <c r="N1689" s="187"/>
      <c r="O1689" s="187"/>
      <c r="P1689" s="187"/>
      <c r="Q1689" s="187"/>
      <c r="R1689" s="187"/>
      <c r="S1689" s="188"/>
    </row>
    <row r="1690" spans="2:19" ht="12.75">
      <c r="B1690" s="185"/>
      <c r="C1690" s="186"/>
      <c r="D1690" s="187"/>
      <c r="E1690" s="187"/>
      <c r="F1690" s="187"/>
      <c r="G1690" s="187"/>
      <c r="H1690" s="187"/>
      <c r="I1690" s="187"/>
      <c r="J1690" s="187"/>
      <c r="K1690" s="187"/>
      <c r="L1690" s="187"/>
      <c r="M1690" s="187"/>
      <c r="N1690" s="187"/>
      <c r="O1690" s="187"/>
      <c r="P1690" s="187"/>
      <c r="Q1690" s="187"/>
      <c r="R1690" s="187"/>
      <c r="S1690" s="188"/>
    </row>
    <row r="1691" spans="2:19" ht="12.75">
      <c r="B1691" s="185"/>
      <c r="C1691" s="186"/>
      <c r="D1691" s="187"/>
      <c r="E1691" s="187"/>
      <c r="F1691" s="187"/>
      <c r="G1691" s="187"/>
      <c r="H1691" s="187"/>
      <c r="I1691" s="187"/>
      <c r="J1691" s="187"/>
      <c r="K1691" s="187"/>
      <c r="L1691" s="187"/>
      <c r="M1691" s="187"/>
      <c r="N1691" s="187"/>
      <c r="O1691" s="187"/>
      <c r="P1691" s="187"/>
      <c r="Q1691" s="187"/>
      <c r="R1691" s="187"/>
      <c r="S1691" s="188"/>
    </row>
    <row r="1692" spans="2:19" ht="12.75">
      <c r="B1692" s="185"/>
      <c r="C1692" s="186"/>
      <c r="D1692" s="187"/>
      <c r="E1692" s="187"/>
      <c r="F1692" s="187"/>
      <c r="G1692" s="187"/>
      <c r="H1692" s="187"/>
      <c r="I1692" s="187"/>
      <c r="J1692" s="187"/>
      <c r="K1692" s="187"/>
      <c r="L1692" s="187"/>
      <c r="M1692" s="187"/>
      <c r="N1692" s="187"/>
      <c r="O1692" s="187"/>
      <c r="P1692" s="187"/>
      <c r="Q1692" s="187"/>
      <c r="R1692" s="187"/>
      <c r="S1692" s="188"/>
    </row>
    <row r="1693" spans="2:19" ht="12.75">
      <c r="B1693" s="185"/>
      <c r="C1693" s="186"/>
      <c r="D1693" s="187"/>
      <c r="E1693" s="187"/>
      <c r="F1693" s="187"/>
      <c r="G1693" s="187"/>
      <c r="H1693" s="187"/>
      <c r="I1693" s="187"/>
      <c r="J1693" s="187"/>
      <c r="K1693" s="187"/>
      <c r="L1693" s="187"/>
      <c r="M1693" s="187"/>
      <c r="N1693" s="187"/>
      <c r="O1693" s="187"/>
      <c r="P1693" s="187"/>
      <c r="Q1693" s="187"/>
      <c r="R1693" s="187"/>
      <c r="S1693" s="188"/>
    </row>
    <row r="1694" spans="2:19" ht="12.75">
      <c r="B1694" s="185"/>
      <c r="C1694" s="186"/>
      <c r="D1694" s="187"/>
      <c r="E1694" s="187"/>
      <c r="F1694" s="187"/>
      <c r="G1694" s="187"/>
      <c r="H1694" s="187"/>
      <c r="I1694" s="187"/>
      <c r="J1694" s="187"/>
      <c r="K1694" s="187"/>
      <c r="L1694" s="187"/>
      <c r="M1694" s="187"/>
      <c r="N1694" s="187"/>
      <c r="O1694" s="187"/>
      <c r="P1694" s="187"/>
      <c r="Q1694" s="187"/>
      <c r="R1694" s="187"/>
      <c r="S1694" s="188"/>
    </row>
    <row r="1695" spans="2:19" ht="12.75">
      <c r="B1695" s="185"/>
      <c r="C1695" s="186"/>
      <c r="D1695" s="187"/>
      <c r="E1695" s="187"/>
      <c r="F1695" s="187"/>
      <c r="G1695" s="187"/>
      <c r="H1695" s="187"/>
      <c r="I1695" s="187"/>
      <c r="J1695" s="187"/>
      <c r="K1695" s="187"/>
      <c r="L1695" s="187"/>
      <c r="M1695" s="187"/>
      <c r="N1695" s="187"/>
      <c r="O1695" s="187"/>
      <c r="P1695" s="187"/>
      <c r="Q1695" s="187"/>
      <c r="R1695" s="187"/>
      <c r="S1695" s="188"/>
    </row>
    <row r="1696" spans="2:19" ht="12.75">
      <c r="B1696" s="185"/>
      <c r="C1696" s="186"/>
      <c r="D1696" s="187"/>
      <c r="E1696" s="187"/>
      <c r="F1696" s="187"/>
      <c r="G1696" s="187"/>
      <c r="H1696" s="187"/>
      <c r="I1696" s="187"/>
      <c r="J1696" s="187"/>
      <c r="K1696" s="187"/>
      <c r="L1696" s="187"/>
      <c r="M1696" s="187"/>
      <c r="N1696" s="187"/>
      <c r="O1696" s="187"/>
      <c r="P1696" s="187"/>
      <c r="Q1696" s="187"/>
      <c r="R1696" s="187"/>
      <c r="S1696" s="188"/>
    </row>
    <row r="1697" spans="2:19" ht="12.75">
      <c r="B1697" s="185"/>
      <c r="C1697" s="186"/>
      <c r="D1697" s="187"/>
      <c r="E1697" s="187"/>
      <c r="F1697" s="187"/>
      <c r="G1697" s="187"/>
      <c r="H1697" s="187"/>
      <c r="I1697" s="187"/>
      <c r="J1697" s="187"/>
      <c r="K1697" s="187"/>
      <c r="L1697" s="187"/>
      <c r="M1697" s="187"/>
      <c r="N1697" s="187"/>
      <c r="O1697" s="187"/>
      <c r="P1697" s="187"/>
      <c r="Q1697" s="187"/>
      <c r="R1697" s="187"/>
      <c r="S1697" s="188"/>
    </row>
    <row r="1698" spans="2:19" ht="12.75">
      <c r="B1698" s="185"/>
      <c r="C1698" s="186"/>
      <c r="D1698" s="187"/>
      <c r="E1698" s="187"/>
      <c r="F1698" s="187"/>
      <c r="G1698" s="187"/>
      <c r="H1698" s="187"/>
      <c r="I1698" s="187"/>
      <c r="J1698" s="187"/>
      <c r="K1698" s="187"/>
      <c r="L1698" s="187"/>
      <c r="M1698" s="187"/>
      <c r="N1698" s="187"/>
      <c r="O1698" s="187"/>
      <c r="P1698" s="187"/>
      <c r="Q1698" s="187"/>
      <c r="R1698" s="187"/>
      <c r="S1698" s="188"/>
    </row>
    <row r="1699" spans="2:19" ht="12.75">
      <c r="B1699" s="185"/>
      <c r="C1699" s="186"/>
      <c r="D1699" s="187"/>
      <c r="E1699" s="187"/>
      <c r="F1699" s="187"/>
      <c r="G1699" s="187"/>
      <c r="H1699" s="187"/>
      <c r="I1699" s="187"/>
      <c r="J1699" s="187"/>
      <c r="K1699" s="187"/>
      <c r="L1699" s="187"/>
      <c r="M1699" s="187"/>
      <c r="N1699" s="187"/>
      <c r="O1699" s="187"/>
      <c r="P1699" s="187"/>
      <c r="Q1699" s="187"/>
      <c r="R1699" s="187"/>
      <c r="S1699" s="188"/>
    </row>
    <row r="1700" spans="2:19" ht="12.75">
      <c r="B1700" s="185"/>
      <c r="C1700" s="186"/>
      <c r="D1700" s="187"/>
      <c r="E1700" s="187"/>
      <c r="F1700" s="187"/>
      <c r="G1700" s="187"/>
      <c r="H1700" s="187"/>
      <c r="I1700" s="187"/>
      <c r="J1700" s="187"/>
      <c r="K1700" s="187"/>
      <c r="L1700" s="187"/>
      <c r="M1700" s="187"/>
      <c r="N1700" s="187"/>
      <c r="O1700" s="187"/>
      <c r="P1700" s="187"/>
      <c r="Q1700" s="187"/>
      <c r="R1700" s="187"/>
      <c r="S1700" s="188"/>
    </row>
    <row r="1701" spans="2:19" ht="12.75">
      <c r="B1701" s="185"/>
      <c r="C1701" s="186"/>
      <c r="D1701" s="187"/>
      <c r="E1701" s="187"/>
      <c r="F1701" s="187"/>
      <c r="G1701" s="187"/>
      <c r="H1701" s="187"/>
      <c r="I1701" s="187"/>
      <c r="J1701" s="187"/>
      <c r="K1701" s="187"/>
      <c r="L1701" s="187"/>
      <c r="M1701" s="187"/>
      <c r="N1701" s="187"/>
      <c r="O1701" s="187"/>
      <c r="P1701" s="187"/>
      <c r="Q1701" s="187"/>
      <c r="R1701" s="187"/>
      <c r="S1701" s="188"/>
    </row>
    <row r="1702" spans="2:19" ht="12.75">
      <c r="B1702" s="185"/>
      <c r="C1702" s="186"/>
      <c r="D1702" s="187"/>
      <c r="E1702" s="187"/>
      <c r="F1702" s="187"/>
      <c r="G1702" s="187"/>
      <c r="H1702" s="187"/>
      <c r="I1702" s="187"/>
      <c r="J1702" s="187"/>
      <c r="K1702" s="187"/>
      <c r="L1702" s="187"/>
      <c r="M1702" s="187"/>
      <c r="N1702" s="187"/>
      <c r="O1702" s="187"/>
      <c r="P1702" s="187"/>
      <c r="Q1702" s="187"/>
      <c r="R1702" s="187"/>
      <c r="S1702" s="188"/>
    </row>
    <row r="1703" spans="2:19" ht="12.75">
      <c r="B1703" s="185"/>
      <c r="C1703" s="186"/>
      <c r="D1703" s="187"/>
      <c r="E1703" s="187"/>
      <c r="F1703" s="187"/>
      <c r="G1703" s="187"/>
      <c r="H1703" s="187"/>
      <c r="I1703" s="187"/>
      <c r="J1703" s="187"/>
      <c r="K1703" s="187"/>
      <c r="L1703" s="187"/>
      <c r="M1703" s="187"/>
      <c r="N1703" s="187"/>
      <c r="O1703" s="187"/>
      <c r="P1703" s="187"/>
      <c r="Q1703" s="187"/>
      <c r="R1703" s="187"/>
      <c r="S1703" s="188"/>
    </row>
    <row r="1704" spans="2:19" ht="12.75">
      <c r="B1704" s="185"/>
      <c r="C1704" s="186"/>
      <c r="D1704" s="187"/>
      <c r="E1704" s="187"/>
      <c r="F1704" s="187"/>
      <c r="G1704" s="187"/>
      <c r="H1704" s="187"/>
      <c r="I1704" s="187"/>
      <c r="J1704" s="187"/>
      <c r="K1704" s="187"/>
      <c r="L1704" s="187"/>
      <c r="M1704" s="187"/>
      <c r="N1704" s="187"/>
      <c r="O1704" s="187"/>
      <c r="P1704" s="187"/>
      <c r="Q1704" s="187"/>
      <c r="R1704" s="187"/>
      <c r="S1704" s="188"/>
    </row>
    <row r="1705" spans="2:19" ht="12.75">
      <c r="B1705" s="185"/>
      <c r="C1705" s="186"/>
      <c r="D1705" s="187"/>
      <c r="E1705" s="187"/>
      <c r="F1705" s="187"/>
      <c r="G1705" s="187"/>
      <c r="H1705" s="187"/>
      <c r="I1705" s="187"/>
      <c r="J1705" s="187"/>
      <c r="K1705" s="187"/>
      <c r="L1705" s="187"/>
      <c r="M1705" s="187"/>
      <c r="N1705" s="187"/>
      <c r="O1705" s="187"/>
      <c r="P1705" s="187"/>
      <c r="Q1705" s="187"/>
      <c r="R1705" s="187"/>
      <c r="S1705" s="188"/>
    </row>
    <row r="1706" spans="2:19" ht="12.75">
      <c r="B1706" s="185"/>
      <c r="C1706" s="186"/>
      <c r="D1706" s="187"/>
      <c r="E1706" s="187"/>
      <c r="F1706" s="187"/>
      <c r="G1706" s="187"/>
      <c r="H1706" s="187"/>
      <c r="I1706" s="187"/>
      <c r="J1706" s="187"/>
      <c r="K1706" s="187"/>
      <c r="L1706" s="187"/>
      <c r="M1706" s="187"/>
      <c r="N1706" s="187"/>
      <c r="O1706" s="187"/>
      <c r="P1706" s="187"/>
      <c r="Q1706" s="187"/>
      <c r="R1706" s="187"/>
      <c r="S1706" s="188"/>
    </row>
    <row r="1707" spans="2:19" ht="12.75">
      <c r="B1707" s="185"/>
      <c r="C1707" s="186"/>
      <c r="D1707" s="187"/>
      <c r="E1707" s="187"/>
      <c r="F1707" s="187"/>
      <c r="G1707" s="187"/>
      <c r="H1707" s="187"/>
      <c r="I1707" s="187"/>
      <c r="J1707" s="187"/>
      <c r="K1707" s="187"/>
      <c r="L1707" s="187"/>
      <c r="M1707" s="187"/>
      <c r="N1707" s="187"/>
      <c r="O1707" s="187"/>
      <c r="P1707" s="187"/>
      <c r="Q1707" s="187"/>
      <c r="R1707" s="187"/>
      <c r="S1707" s="188"/>
    </row>
    <row r="1708" spans="2:19" ht="12.75">
      <c r="B1708" s="185"/>
      <c r="C1708" s="186"/>
      <c r="D1708" s="187"/>
      <c r="E1708" s="187"/>
      <c r="F1708" s="187"/>
      <c r="G1708" s="187"/>
      <c r="H1708" s="187"/>
      <c r="I1708" s="187"/>
      <c r="J1708" s="187"/>
      <c r="K1708" s="187"/>
      <c r="L1708" s="187"/>
      <c r="M1708" s="187"/>
      <c r="N1708" s="187"/>
      <c r="O1708" s="187"/>
      <c r="P1708" s="187"/>
      <c r="Q1708" s="187"/>
      <c r="R1708" s="187"/>
      <c r="S1708" s="188"/>
    </row>
    <row r="1709" spans="2:19" ht="12.75">
      <c r="B1709" s="185"/>
      <c r="C1709" s="186"/>
      <c r="D1709" s="187"/>
      <c r="E1709" s="187"/>
      <c r="F1709" s="187"/>
      <c r="G1709" s="187"/>
      <c r="H1709" s="187"/>
      <c r="I1709" s="187"/>
      <c r="J1709" s="187"/>
      <c r="K1709" s="187"/>
      <c r="L1709" s="187"/>
      <c r="M1709" s="187"/>
      <c r="N1709" s="187"/>
      <c r="O1709" s="187"/>
      <c r="P1709" s="187"/>
      <c r="Q1709" s="187"/>
      <c r="R1709" s="187"/>
      <c r="S1709" s="188"/>
    </row>
    <row r="1710" spans="2:19" ht="12.75">
      <c r="B1710" s="185"/>
      <c r="C1710" s="186"/>
      <c r="D1710" s="187"/>
      <c r="E1710" s="187"/>
      <c r="F1710" s="187"/>
      <c r="G1710" s="187"/>
      <c r="H1710" s="187"/>
      <c r="I1710" s="187"/>
      <c r="J1710" s="187"/>
      <c r="K1710" s="187"/>
      <c r="L1710" s="187"/>
      <c r="M1710" s="187"/>
      <c r="N1710" s="187"/>
      <c r="O1710" s="187"/>
      <c r="P1710" s="187"/>
      <c r="Q1710" s="187"/>
      <c r="R1710" s="187"/>
      <c r="S1710" s="188"/>
    </row>
    <row r="1711" spans="2:19" ht="12.75">
      <c r="B1711" s="185"/>
      <c r="C1711" s="186"/>
      <c r="D1711" s="187"/>
      <c r="E1711" s="187"/>
      <c r="F1711" s="187"/>
      <c r="G1711" s="187"/>
      <c r="H1711" s="187"/>
      <c r="I1711" s="187"/>
      <c r="J1711" s="187"/>
      <c r="K1711" s="187"/>
      <c r="L1711" s="187"/>
      <c r="M1711" s="187"/>
      <c r="N1711" s="187"/>
      <c r="O1711" s="187"/>
      <c r="P1711" s="187"/>
      <c r="Q1711" s="187"/>
      <c r="R1711" s="187"/>
      <c r="S1711" s="188"/>
    </row>
    <row r="1712" spans="2:19" ht="12.75">
      <c r="B1712" s="185"/>
      <c r="C1712" s="186"/>
      <c r="D1712" s="187"/>
      <c r="E1712" s="187"/>
      <c r="F1712" s="187"/>
      <c r="G1712" s="187"/>
      <c r="H1712" s="187"/>
      <c r="I1712" s="187"/>
      <c r="J1712" s="187"/>
      <c r="K1712" s="187"/>
      <c r="L1712" s="187"/>
      <c r="M1712" s="187"/>
      <c r="N1712" s="187"/>
      <c r="O1712" s="187"/>
      <c r="P1712" s="187"/>
      <c r="Q1712" s="187"/>
      <c r="R1712" s="187"/>
      <c r="S1712" s="188"/>
    </row>
    <row r="1713" spans="2:19" ht="12.75">
      <c r="B1713" s="185"/>
      <c r="C1713" s="186"/>
      <c r="D1713" s="187"/>
      <c r="E1713" s="187"/>
      <c r="F1713" s="187"/>
      <c r="G1713" s="187"/>
      <c r="H1713" s="187"/>
      <c r="I1713" s="187"/>
      <c r="J1713" s="187"/>
      <c r="K1713" s="187"/>
      <c r="L1713" s="187"/>
      <c r="M1713" s="187"/>
      <c r="N1713" s="187"/>
      <c r="O1713" s="187"/>
      <c r="P1713" s="187"/>
      <c r="Q1713" s="187"/>
      <c r="R1713" s="187"/>
      <c r="S1713" s="188"/>
    </row>
    <row r="1714" spans="2:19" ht="12.75">
      <c r="B1714" s="185"/>
      <c r="C1714" s="186"/>
      <c r="D1714" s="187"/>
      <c r="E1714" s="187"/>
      <c r="F1714" s="187"/>
      <c r="G1714" s="187"/>
      <c r="H1714" s="187"/>
      <c r="I1714" s="187"/>
      <c r="J1714" s="187"/>
      <c r="K1714" s="187"/>
      <c r="L1714" s="187"/>
      <c r="M1714" s="187"/>
      <c r="N1714" s="187"/>
      <c r="O1714" s="187"/>
      <c r="P1714" s="187"/>
      <c r="Q1714" s="187"/>
      <c r="R1714" s="187"/>
      <c r="S1714" s="188"/>
    </row>
    <row r="1715" spans="2:19" ht="12.75">
      <c r="B1715" s="185"/>
      <c r="C1715" s="186"/>
      <c r="D1715" s="187"/>
      <c r="E1715" s="187"/>
      <c r="F1715" s="187"/>
      <c r="G1715" s="187"/>
      <c r="H1715" s="187"/>
      <c r="I1715" s="187"/>
      <c r="J1715" s="187"/>
      <c r="K1715" s="187"/>
      <c r="L1715" s="187"/>
      <c r="M1715" s="187"/>
      <c r="N1715" s="187"/>
      <c r="O1715" s="187"/>
      <c r="P1715" s="187"/>
      <c r="Q1715" s="187"/>
      <c r="R1715" s="187"/>
      <c r="S1715" s="188"/>
    </row>
    <row r="1716" spans="2:19" ht="12.75">
      <c r="B1716" s="185"/>
      <c r="C1716" s="186"/>
      <c r="D1716" s="187"/>
      <c r="E1716" s="187"/>
      <c r="F1716" s="187"/>
      <c r="G1716" s="187"/>
      <c r="H1716" s="187"/>
      <c r="I1716" s="187"/>
      <c r="J1716" s="187"/>
      <c r="K1716" s="187"/>
      <c r="L1716" s="187"/>
      <c r="M1716" s="187"/>
      <c r="N1716" s="187"/>
      <c r="O1716" s="187"/>
      <c r="P1716" s="187"/>
      <c r="Q1716" s="187"/>
      <c r="R1716" s="187"/>
      <c r="S1716" s="188"/>
    </row>
    <row r="1717" spans="2:19" ht="12.75">
      <c r="B1717" s="185"/>
      <c r="C1717" s="186"/>
      <c r="D1717" s="187"/>
      <c r="E1717" s="187"/>
      <c r="F1717" s="187"/>
      <c r="G1717" s="187"/>
      <c r="H1717" s="187"/>
      <c r="I1717" s="187"/>
      <c r="J1717" s="187"/>
      <c r="K1717" s="187"/>
      <c r="L1717" s="187"/>
      <c r="M1717" s="187"/>
      <c r="N1717" s="187"/>
      <c r="O1717" s="187"/>
      <c r="P1717" s="187"/>
      <c r="Q1717" s="187"/>
      <c r="R1717" s="187"/>
      <c r="S1717" s="188"/>
    </row>
    <row r="1718" spans="2:19" ht="12.75">
      <c r="B1718" s="185"/>
      <c r="C1718" s="186"/>
      <c r="D1718" s="187"/>
      <c r="E1718" s="187"/>
      <c r="F1718" s="187"/>
      <c r="G1718" s="187"/>
      <c r="H1718" s="187"/>
      <c r="I1718" s="187"/>
      <c r="J1718" s="187"/>
      <c r="K1718" s="187"/>
      <c r="L1718" s="187"/>
      <c r="M1718" s="187"/>
      <c r="N1718" s="187"/>
      <c r="O1718" s="187"/>
      <c r="P1718" s="187"/>
      <c r="Q1718" s="187"/>
      <c r="R1718" s="187"/>
      <c r="S1718" s="188"/>
    </row>
    <row r="1719" spans="2:19" ht="12.75">
      <c r="B1719" s="185"/>
      <c r="C1719" s="186"/>
      <c r="D1719" s="187"/>
      <c r="E1719" s="187"/>
      <c r="F1719" s="187"/>
      <c r="G1719" s="187"/>
      <c r="H1719" s="187"/>
      <c r="I1719" s="187"/>
      <c r="J1719" s="187"/>
      <c r="K1719" s="187"/>
      <c r="L1719" s="187"/>
      <c r="M1719" s="187"/>
      <c r="N1719" s="187"/>
      <c r="O1719" s="187"/>
      <c r="P1719" s="187"/>
      <c r="Q1719" s="187"/>
      <c r="R1719" s="187"/>
      <c r="S1719" s="188"/>
    </row>
    <row r="1720" spans="2:19" ht="12.75">
      <c r="B1720" s="185"/>
      <c r="C1720" s="186"/>
      <c r="D1720" s="187"/>
      <c r="E1720" s="187"/>
      <c r="F1720" s="187"/>
      <c r="G1720" s="187"/>
      <c r="H1720" s="187"/>
      <c r="I1720" s="187"/>
      <c r="J1720" s="187"/>
      <c r="K1720" s="187"/>
      <c r="L1720" s="187"/>
      <c r="M1720" s="187"/>
      <c r="N1720" s="187"/>
      <c r="O1720" s="187"/>
      <c r="P1720" s="187"/>
      <c r="Q1720" s="187"/>
      <c r="R1720" s="187"/>
      <c r="S1720" s="188"/>
    </row>
    <row r="1721" spans="2:19" ht="12.75">
      <c r="B1721" s="185"/>
      <c r="C1721" s="186"/>
      <c r="D1721" s="187"/>
      <c r="E1721" s="187"/>
      <c r="F1721" s="187"/>
      <c r="G1721" s="187"/>
      <c r="H1721" s="187"/>
      <c r="I1721" s="187"/>
      <c r="J1721" s="187"/>
      <c r="K1721" s="187"/>
      <c r="L1721" s="187"/>
      <c r="M1721" s="187"/>
      <c r="N1721" s="187"/>
      <c r="O1721" s="187"/>
      <c r="P1721" s="187"/>
      <c r="Q1721" s="187"/>
      <c r="R1721" s="187"/>
      <c r="S1721" s="188"/>
    </row>
    <row r="1722" spans="2:19" ht="12.75">
      <c r="B1722" s="185"/>
      <c r="C1722" s="186"/>
      <c r="D1722" s="187"/>
      <c r="E1722" s="187"/>
      <c r="F1722" s="187"/>
      <c r="G1722" s="187"/>
      <c r="H1722" s="187"/>
      <c r="I1722" s="187"/>
      <c r="J1722" s="187"/>
      <c r="K1722" s="187"/>
      <c r="L1722" s="187"/>
      <c r="M1722" s="187"/>
      <c r="N1722" s="187"/>
      <c r="O1722" s="187"/>
      <c r="P1722" s="187"/>
      <c r="Q1722" s="187"/>
      <c r="R1722" s="187"/>
      <c r="S1722" s="188"/>
    </row>
    <row r="1723" spans="2:19" ht="12.75">
      <c r="B1723" s="185"/>
      <c r="C1723" s="186"/>
      <c r="D1723" s="187"/>
      <c r="E1723" s="187"/>
      <c r="F1723" s="187"/>
      <c r="G1723" s="187"/>
      <c r="H1723" s="187"/>
      <c r="I1723" s="187"/>
      <c r="J1723" s="187"/>
      <c r="K1723" s="187"/>
      <c r="L1723" s="187"/>
      <c r="M1723" s="187"/>
      <c r="N1723" s="187"/>
      <c r="O1723" s="187"/>
      <c r="P1723" s="187"/>
      <c r="Q1723" s="187"/>
      <c r="R1723" s="187"/>
      <c r="S1723" s="188"/>
    </row>
    <row r="1724" spans="2:19" ht="12.75">
      <c r="B1724" s="185"/>
      <c r="C1724" s="186"/>
      <c r="D1724" s="187"/>
      <c r="E1724" s="187"/>
      <c r="F1724" s="187"/>
      <c r="G1724" s="187"/>
      <c r="H1724" s="187"/>
      <c r="I1724" s="187"/>
      <c r="J1724" s="187"/>
      <c r="K1724" s="187"/>
      <c r="L1724" s="187"/>
      <c r="M1724" s="187"/>
      <c r="N1724" s="187"/>
      <c r="O1724" s="187"/>
      <c r="P1724" s="187"/>
      <c r="Q1724" s="187"/>
      <c r="R1724" s="187"/>
      <c r="S1724" s="188"/>
    </row>
    <row r="1725" spans="2:19" ht="12.75">
      <c r="B1725" s="185"/>
      <c r="C1725" s="186"/>
      <c r="D1725" s="187"/>
      <c r="E1725" s="187"/>
      <c r="F1725" s="187"/>
      <c r="G1725" s="187"/>
      <c r="H1725" s="187"/>
      <c r="I1725" s="187"/>
      <c r="J1725" s="187"/>
      <c r="K1725" s="187"/>
      <c r="L1725" s="187"/>
      <c r="M1725" s="187"/>
      <c r="N1725" s="187"/>
      <c r="O1725" s="187"/>
      <c r="P1725" s="187"/>
      <c r="Q1725" s="187"/>
      <c r="R1725" s="187"/>
      <c r="S1725" s="188"/>
    </row>
    <row r="1726" spans="2:19" ht="12.75">
      <c r="B1726" s="185"/>
      <c r="C1726" s="186"/>
      <c r="D1726" s="187"/>
      <c r="E1726" s="187"/>
      <c r="F1726" s="187"/>
      <c r="G1726" s="187"/>
      <c r="H1726" s="187"/>
      <c r="I1726" s="187"/>
      <c r="J1726" s="187"/>
      <c r="K1726" s="187"/>
      <c r="L1726" s="187"/>
      <c r="M1726" s="187"/>
      <c r="N1726" s="187"/>
      <c r="O1726" s="187"/>
      <c r="P1726" s="187"/>
      <c r="Q1726" s="187"/>
      <c r="R1726" s="187"/>
      <c r="S1726" s="188"/>
    </row>
    <row r="1727" spans="2:19" ht="12.75">
      <c r="B1727" s="185"/>
      <c r="C1727" s="186"/>
      <c r="D1727" s="187"/>
      <c r="E1727" s="187"/>
      <c r="F1727" s="187"/>
      <c r="G1727" s="187"/>
      <c r="H1727" s="187"/>
      <c r="I1727" s="187"/>
      <c r="J1727" s="187"/>
      <c r="K1727" s="187"/>
      <c r="L1727" s="187"/>
      <c r="M1727" s="187"/>
      <c r="N1727" s="187"/>
      <c r="O1727" s="187"/>
      <c r="P1727" s="187"/>
      <c r="Q1727" s="187"/>
      <c r="R1727" s="187"/>
      <c r="S1727" s="188"/>
    </row>
    <row r="1728" spans="2:19" ht="12.75">
      <c r="B1728" s="185"/>
      <c r="C1728" s="186"/>
      <c r="D1728" s="187"/>
      <c r="E1728" s="187"/>
      <c r="F1728" s="187"/>
      <c r="G1728" s="187"/>
      <c r="H1728" s="187"/>
      <c r="I1728" s="187"/>
      <c r="J1728" s="187"/>
      <c r="K1728" s="187"/>
      <c r="L1728" s="187"/>
      <c r="M1728" s="187"/>
      <c r="N1728" s="187"/>
      <c r="O1728" s="187"/>
      <c r="P1728" s="187"/>
      <c r="Q1728" s="187"/>
      <c r="R1728" s="187"/>
      <c r="S1728" s="188"/>
    </row>
    <row r="1729" spans="2:19" ht="12.75">
      <c r="B1729" s="185"/>
      <c r="C1729" s="186"/>
      <c r="D1729" s="187"/>
      <c r="E1729" s="187"/>
      <c r="F1729" s="187"/>
      <c r="G1729" s="187"/>
      <c r="H1729" s="187"/>
      <c r="I1729" s="187"/>
      <c r="J1729" s="187"/>
      <c r="K1729" s="187"/>
      <c r="L1729" s="187"/>
      <c r="M1729" s="187"/>
      <c r="N1729" s="187"/>
      <c r="O1729" s="187"/>
      <c r="P1729" s="187"/>
      <c r="Q1729" s="187"/>
      <c r="R1729" s="187"/>
      <c r="S1729" s="188"/>
    </row>
    <row r="1730" spans="2:19" ht="12.75">
      <c r="B1730" s="185"/>
      <c r="C1730" s="186"/>
      <c r="D1730" s="187"/>
      <c r="E1730" s="187"/>
      <c r="F1730" s="187"/>
      <c r="G1730" s="187"/>
      <c r="H1730" s="187"/>
      <c r="I1730" s="187"/>
      <c r="J1730" s="187"/>
      <c r="K1730" s="187"/>
      <c r="L1730" s="187"/>
      <c r="M1730" s="187"/>
      <c r="N1730" s="187"/>
      <c r="O1730" s="187"/>
      <c r="P1730" s="187"/>
      <c r="Q1730" s="187"/>
      <c r="R1730" s="187"/>
      <c r="S1730" s="188"/>
    </row>
    <row r="1731" spans="2:19" ht="12.75">
      <c r="B1731" s="185"/>
      <c r="C1731" s="186"/>
      <c r="D1731" s="187"/>
      <c r="E1731" s="187"/>
      <c r="F1731" s="187"/>
      <c r="G1731" s="187"/>
      <c r="H1731" s="187"/>
      <c r="I1731" s="187"/>
      <c r="J1731" s="187"/>
      <c r="K1731" s="187"/>
      <c r="L1731" s="187"/>
      <c r="M1731" s="187"/>
      <c r="N1731" s="187"/>
      <c r="O1731" s="187"/>
      <c r="P1731" s="187"/>
      <c r="Q1731" s="187"/>
      <c r="R1731" s="187"/>
      <c r="S1731" s="188"/>
    </row>
    <row r="1732" spans="2:19" ht="12.75">
      <c r="B1732" s="185"/>
      <c r="C1732" s="186"/>
      <c r="D1732" s="187"/>
      <c r="E1732" s="187"/>
      <c r="F1732" s="187"/>
      <c r="G1732" s="187"/>
      <c r="H1732" s="187"/>
      <c r="I1732" s="187"/>
      <c r="J1732" s="187"/>
      <c r="K1732" s="187"/>
      <c r="L1732" s="187"/>
      <c r="M1732" s="187"/>
      <c r="N1732" s="187"/>
      <c r="O1732" s="187"/>
      <c r="P1732" s="187"/>
      <c r="Q1732" s="187"/>
      <c r="R1732" s="187"/>
      <c r="S1732" s="188"/>
    </row>
    <row r="1733" spans="2:19" ht="12.75">
      <c r="B1733" s="185"/>
      <c r="C1733" s="186"/>
      <c r="D1733" s="187"/>
      <c r="E1733" s="187"/>
      <c r="F1733" s="187"/>
      <c r="G1733" s="187"/>
      <c r="H1733" s="187"/>
      <c r="I1733" s="187"/>
      <c r="J1733" s="187"/>
      <c r="K1733" s="187"/>
      <c r="L1733" s="187"/>
      <c r="M1733" s="187"/>
      <c r="N1733" s="187"/>
      <c r="O1733" s="187"/>
      <c r="P1733" s="187"/>
      <c r="Q1733" s="187"/>
      <c r="R1733" s="187"/>
      <c r="S1733" s="188"/>
    </row>
    <row r="1734" spans="2:19" ht="12.75">
      <c r="B1734" s="185"/>
      <c r="C1734" s="186"/>
      <c r="D1734" s="187"/>
      <c r="E1734" s="187"/>
      <c r="F1734" s="187"/>
      <c r="G1734" s="187"/>
      <c r="H1734" s="187"/>
      <c r="I1734" s="187"/>
      <c r="J1734" s="187"/>
      <c r="K1734" s="187"/>
      <c r="L1734" s="187"/>
      <c r="M1734" s="187"/>
      <c r="N1734" s="187"/>
      <c r="O1734" s="187"/>
      <c r="P1734" s="187"/>
      <c r="Q1734" s="187"/>
      <c r="R1734" s="187"/>
      <c r="S1734" s="188"/>
    </row>
    <row r="1735" spans="2:19" ht="12.75">
      <c r="B1735" s="185"/>
      <c r="C1735" s="186"/>
      <c r="D1735" s="187"/>
      <c r="E1735" s="187"/>
      <c r="F1735" s="187"/>
      <c r="G1735" s="187"/>
      <c r="H1735" s="187"/>
      <c r="I1735" s="187"/>
      <c r="J1735" s="187"/>
      <c r="K1735" s="187"/>
      <c r="L1735" s="187"/>
      <c r="M1735" s="187"/>
      <c r="N1735" s="187"/>
      <c r="O1735" s="187"/>
      <c r="P1735" s="187"/>
      <c r="Q1735" s="187"/>
      <c r="R1735" s="187"/>
      <c r="S1735" s="188"/>
    </row>
    <row r="1736" spans="2:19" ht="12.75">
      <c r="B1736" s="185"/>
      <c r="C1736" s="186"/>
      <c r="D1736" s="187"/>
      <c r="E1736" s="187"/>
      <c r="F1736" s="187"/>
      <c r="G1736" s="187"/>
      <c r="H1736" s="187"/>
      <c r="I1736" s="187"/>
      <c r="J1736" s="187"/>
      <c r="K1736" s="187"/>
      <c r="L1736" s="187"/>
      <c r="M1736" s="187"/>
      <c r="N1736" s="187"/>
      <c r="O1736" s="187"/>
      <c r="P1736" s="187"/>
      <c r="Q1736" s="187"/>
      <c r="R1736" s="187"/>
      <c r="S1736" s="188"/>
    </row>
    <row r="1737" spans="2:19" ht="12.75">
      <c r="B1737" s="185"/>
      <c r="C1737" s="186"/>
      <c r="D1737" s="187"/>
      <c r="E1737" s="187"/>
      <c r="F1737" s="187"/>
      <c r="G1737" s="187"/>
      <c r="H1737" s="187"/>
      <c r="I1737" s="187"/>
      <c r="J1737" s="187"/>
      <c r="K1737" s="187"/>
      <c r="L1737" s="187"/>
      <c r="M1737" s="187"/>
      <c r="N1737" s="187"/>
      <c r="O1737" s="187"/>
      <c r="P1737" s="187"/>
      <c r="Q1737" s="187"/>
      <c r="R1737" s="187"/>
      <c r="S1737" s="188"/>
    </row>
    <row r="1738" spans="2:19" ht="12.75">
      <c r="B1738" s="185"/>
      <c r="C1738" s="186"/>
      <c r="D1738" s="187"/>
      <c r="E1738" s="187"/>
      <c r="F1738" s="187"/>
      <c r="G1738" s="187"/>
      <c r="H1738" s="187"/>
      <c r="I1738" s="187"/>
      <c r="J1738" s="187"/>
      <c r="K1738" s="187"/>
      <c r="L1738" s="187"/>
      <c r="M1738" s="187"/>
      <c r="N1738" s="187"/>
      <c r="O1738" s="187"/>
      <c r="P1738" s="187"/>
      <c r="Q1738" s="187"/>
      <c r="R1738" s="187"/>
      <c r="S1738" s="188"/>
    </row>
    <row r="1739" spans="2:19" ht="12.75">
      <c r="B1739" s="185"/>
      <c r="C1739" s="186"/>
      <c r="D1739" s="187"/>
      <c r="E1739" s="187"/>
      <c r="F1739" s="187"/>
      <c r="G1739" s="187"/>
      <c r="H1739" s="187"/>
      <c r="I1739" s="187"/>
      <c r="J1739" s="187"/>
      <c r="K1739" s="187"/>
      <c r="L1739" s="187"/>
      <c r="M1739" s="187"/>
      <c r="N1739" s="187"/>
      <c r="O1739" s="187"/>
      <c r="P1739" s="187"/>
      <c r="Q1739" s="187"/>
      <c r="R1739" s="187"/>
      <c r="S1739" s="188"/>
    </row>
    <row r="1740" spans="2:19" ht="12.75">
      <c r="B1740" s="185"/>
      <c r="C1740" s="186"/>
      <c r="D1740" s="187"/>
      <c r="E1740" s="187"/>
      <c r="F1740" s="187"/>
      <c r="G1740" s="187"/>
      <c r="H1740" s="187"/>
      <c r="I1740" s="187"/>
      <c r="J1740" s="187"/>
      <c r="K1740" s="187"/>
      <c r="L1740" s="187"/>
      <c r="M1740" s="187"/>
      <c r="N1740" s="187"/>
      <c r="O1740" s="187"/>
      <c r="P1740" s="187"/>
      <c r="Q1740" s="187"/>
      <c r="R1740" s="187"/>
      <c r="S1740" s="188"/>
    </row>
    <row r="1741" spans="2:19" ht="12.75">
      <c r="B1741" s="185"/>
      <c r="C1741" s="186"/>
      <c r="D1741" s="187"/>
      <c r="E1741" s="187"/>
      <c r="F1741" s="187"/>
      <c r="G1741" s="187"/>
      <c r="H1741" s="187"/>
      <c r="I1741" s="187"/>
      <c r="J1741" s="187"/>
      <c r="K1741" s="187"/>
      <c r="L1741" s="187"/>
      <c r="M1741" s="187"/>
      <c r="N1741" s="187"/>
      <c r="O1741" s="187"/>
      <c r="P1741" s="187"/>
      <c r="Q1741" s="187"/>
      <c r="R1741" s="187"/>
      <c r="S1741" s="188"/>
    </row>
    <row r="1742" spans="2:19" ht="12.75">
      <c r="B1742" s="185"/>
      <c r="C1742" s="186"/>
      <c r="D1742" s="187"/>
      <c r="E1742" s="187"/>
      <c r="F1742" s="187"/>
      <c r="G1742" s="187"/>
      <c r="H1742" s="187"/>
      <c r="I1742" s="187"/>
      <c r="J1742" s="187"/>
      <c r="K1742" s="187"/>
      <c r="L1742" s="187"/>
      <c r="M1742" s="187"/>
      <c r="N1742" s="187"/>
      <c r="O1742" s="187"/>
      <c r="P1742" s="187"/>
      <c r="Q1742" s="187"/>
      <c r="R1742" s="187"/>
      <c r="S1742" s="188"/>
    </row>
    <row r="1743" spans="2:19" ht="12.75">
      <c r="B1743" s="185"/>
      <c r="C1743" s="186"/>
      <c r="D1743" s="187"/>
      <c r="E1743" s="187"/>
      <c r="F1743" s="187"/>
      <c r="G1743" s="187"/>
      <c r="H1743" s="187"/>
      <c r="I1743" s="187"/>
      <c r="J1743" s="187"/>
      <c r="K1743" s="187"/>
      <c r="L1743" s="187"/>
      <c r="M1743" s="187"/>
      <c r="N1743" s="187"/>
      <c r="O1743" s="187"/>
      <c r="P1743" s="187"/>
      <c r="Q1743" s="187"/>
      <c r="R1743" s="187"/>
      <c r="S1743" s="188"/>
    </row>
    <row r="1744" spans="2:19" ht="12.75">
      <c r="B1744" s="185"/>
      <c r="C1744" s="186"/>
      <c r="D1744" s="187"/>
      <c r="E1744" s="187"/>
      <c r="F1744" s="187"/>
      <c r="G1744" s="187"/>
      <c r="H1744" s="187"/>
      <c r="I1744" s="187"/>
      <c r="J1744" s="187"/>
      <c r="K1744" s="187"/>
      <c r="L1744" s="187"/>
      <c r="M1744" s="187"/>
      <c r="N1744" s="187"/>
      <c r="O1744" s="187"/>
      <c r="P1744" s="187"/>
      <c r="Q1744" s="187"/>
      <c r="R1744" s="187"/>
      <c r="S1744" s="188"/>
    </row>
    <row r="1745" spans="2:19" ht="12.75">
      <c r="B1745" s="185"/>
      <c r="C1745" s="186"/>
      <c r="D1745" s="187"/>
      <c r="E1745" s="187"/>
      <c r="F1745" s="187"/>
      <c r="G1745" s="187"/>
      <c r="H1745" s="187"/>
      <c r="I1745" s="187"/>
      <c r="J1745" s="187"/>
      <c r="K1745" s="187"/>
      <c r="L1745" s="187"/>
      <c r="M1745" s="187"/>
      <c r="N1745" s="187"/>
      <c r="O1745" s="187"/>
      <c r="P1745" s="187"/>
      <c r="Q1745" s="187"/>
      <c r="R1745" s="187"/>
      <c r="S1745" s="188"/>
    </row>
    <row r="1746" spans="2:19" ht="12.75">
      <c r="B1746" s="185"/>
      <c r="C1746" s="186"/>
      <c r="D1746" s="187"/>
      <c r="E1746" s="187"/>
      <c r="F1746" s="187"/>
      <c r="G1746" s="187"/>
      <c r="H1746" s="187"/>
      <c r="I1746" s="187"/>
      <c r="J1746" s="187"/>
      <c r="K1746" s="187"/>
      <c r="L1746" s="187"/>
      <c r="M1746" s="187"/>
      <c r="N1746" s="187"/>
      <c r="O1746" s="187"/>
      <c r="P1746" s="187"/>
      <c r="Q1746" s="187"/>
      <c r="R1746" s="187"/>
      <c r="S1746" s="188"/>
    </row>
    <row r="1747" spans="2:19" ht="12.75">
      <c r="B1747" s="185"/>
      <c r="C1747" s="186"/>
      <c r="D1747" s="187"/>
      <c r="E1747" s="187"/>
      <c r="F1747" s="187"/>
      <c r="G1747" s="187"/>
      <c r="H1747" s="187"/>
      <c r="I1747" s="187"/>
      <c r="J1747" s="187"/>
      <c r="K1747" s="187"/>
      <c r="L1747" s="187"/>
      <c r="M1747" s="187"/>
      <c r="N1747" s="187"/>
      <c r="O1747" s="187"/>
      <c r="P1747" s="187"/>
      <c r="Q1747" s="187"/>
      <c r="R1747" s="187"/>
      <c r="S1747" s="188"/>
    </row>
    <row r="1748" spans="2:19" ht="12.75">
      <c r="B1748" s="185"/>
      <c r="C1748" s="186"/>
      <c r="D1748" s="187"/>
      <c r="E1748" s="187"/>
      <c r="F1748" s="187"/>
      <c r="G1748" s="187"/>
      <c r="H1748" s="187"/>
      <c r="I1748" s="187"/>
      <c r="J1748" s="187"/>
      <c r="K1748" s="187"/>
      <c r="L1748" s="187"/>
      <c r="M1748" s="187"/>
      <c r="N1748" s="187"/>
      <c r="O1748" s="187"/>
      <c r="P1748" s="187"/>
      <c r="Q1748" s="187"/>
      <c r="R1748" s="187"/>
      <c r="S1748" s="188"/>
    </row>
    <row r="1749" spans="2:19" ht="12.75">
      <c r="B1749" s="185"/>
      <c r="C1749" s="186"/>
      <c r="D1749" s="187"/>
      <c r="E1749" s="187"/>
      <c r="F1749" s="187"/>
      <c r="G1749" s="187"/>
      <c r="H1749" s="187"/>
      <c r="I1749" s="187"/>
      <c r="J1749" s="187"/>
      <c r="K1749" s="187"/>
      <c r="L1749" s="187"/>
      <c r="M1749" s="187"/>
      <c r="N1749" s="187"/>
      <c r="O1749" s="187"/>
      <c r="P1749" s="187"/>
      <c r="Q1749" s="187"/>
      <c r="R1749" s="187"/>
      <c r="S1749" s="188"/>
    </row>
    <row r="1750" spans="2:19" ht="12.75">
      <c r="B1750" s="185"/>
      <c r="C1750" s="186"/>
      <c r="D1750" s="187"/>
      <c r="E1750" s="187"/>
      <c r="F1750" s="187"/>
      <c r="G1750" s="187"/>
      <c r="H1750" s="187"/>
      <c r="I1750" s="187"/>
      <c r="J1750" s="187"/>
      <c r="K1750" s="187"/>
      <c r="L1750" s="187"/>
      <c r="M1750" s="187"/>
      <c r="N1750" s="187"/>
      <c r="O1750" s="187"/>
      <c r="P1750" s="187"/>
      <c r="Q1750" s="187"/>
      <c r="R1750" s="187"/>
      <c r="S1750" s="188"/>
    </row>
    <row r="1751" spans="2:19" ht="12.75">
      <c r="B1751" s="185"/>
      <c r="C1751" s="186"/>
      <c r="D1751" s="187"/>
      <c r="E1751" s="187"/>
      <c r="F1751" s="187"/>
      <c r="G1751" s="187"/>
      <c r="H1751" s="187"/>
      <c r="I1751" s="187"/>
      <c r="J1751" s="187"/>
      <c r="K1751" s="187"/>
      <c r="L1751" s="187"/>
      <c r="M1751" s="187"/>
      <c r="N1751" s="187"/>
      <c r="O1751" s="187"/>
      <c r="P1751" s="187"/>
      <c r="Q1751" s="187"/>
      <c r="R1751" s="187"/>
      <c r="S1751" s="188"/>
    </row>
    <row r="1752" spans="2:19" ht="12.75">
      <c r="B1752" s="185"/>
      <c r="C1752" s="186"/>
      <c r="D1752" s="187"/>
      <c r="E1752" s="187"/>
      <c r="F1752" s="187"/>
      <c r="G1752" s="187"/>
      <c r="H1752" s="187"/>
      <c r="I1752" s="187"/>
      <c r="J1752" s="187"/>
      <c r="K1752" s="187"/>
      <c r="L1752" s="187"/>
      <c r="M1752" s="187"/>
      <c r="N1752" s="187"/>
      <c r="O1752" s="187"/>
      <c r="P1752" s="187"/>
      <c r="Q1752" s="187"/>
      <c r="R1752" s="187"/>
      <c r="S1752" s="188"/>
    </row>
    <row r="1753" spans="2:19" ht="12.75">
      <c r="B1753" s="185"/>
      <c r="C1753" s="186"/>
      <c r="D1753" s="187"/>
      <c r="E1753" s="187"/>
      <c r="F1753" s="187"/>
      <c r="G1753" s="187"/>
      <c r="H1753" s="187"/>
      <c r="I1753" s="187"/>
      <c r="J1753" s="187"/>
      <c r="K1753" s="187"/>
      <c r="L1753" s="187"/>
      <c r="M1753" s="187"/>
      <c r="N1753" s="187"/>
      <c r="O1753" s="187"/>
      <c r="P1753" s="187"/>
      <c r="Q1753" s="187"/>
      <c r="R1753" s="187"/>
      <c r="S1753" s="188"/>
    </row>
    <row r="1754" spans="2:19" ht="12.75">
      <c r="B1754" s="185"/>
      <c r="C1754" s="186"/>
      <c r="D1754" s="187"/>
      <c r="E1754" s="187"/>
      <c r="F1754" s="187"/>
      <c r="G1754" s="187"/>
      <c r="H1754" s="187"/>
      <c r="I1754" s="187"/>
      <c r="J1754" s="187"/>
      <c r="K1754" s="187"/>
      <c r="L1754" s="187"/>
      <c r="M1754" s="187"/>
      <c r="N1754" s="187"/>
      <c r="O1754" s="187"/>
      <c r="P1754" s="187"/>
      <c r="Q1754" s="187"/>
      <c r="R1754" s="187"/>
      <c r="S1754" s="188"/>
    </row>
    <row r="1755" spans="2:19" ht="12.75">
      <c r="B1755" s="185"/>
      <c r="C1755" s="186"/>
      <c r="D1755" s="187"/>
      <c r="E1755" s="187"/>
      <c r="F1755" s="187"/>
      <c r="G1755" s="187"/>
      <c r="H1755" s="187"/>
      <c r="I1755" s="187"/>
      <c r="J1755" s="187"/>
      <c r="K1755" s="187"/>
      <c r="L1755" s="187"/>
      <c r="M1755" s="187"/>
      <c r="N1755" s="187"/>
      <c r="O1755" s="187"/>
      <c r="P1755" s="187"/>
      <c r="Q1755" s="187"/>
      <c r="R1755" s="187"/>
      <c r="S1755" s="188"/>
    </row>
    <row r="1756" spans="2:19" ht="12.75">
      <c r="B1756" s="185"/>
      <c r="C1756" s="186"/>
      <c r="D1756" s="187"/>
      <c r="E1756" s="187"/>
      <c r="F1756" s="187"/>
      <c r="G1756" s="187"/>
      <c r="H1756" s="187"/>
      <c r="I1756" s="187"/>
      <c r="J1756" s="187"/>
      <c r="K1756" s="187"/>
      <c r="L1756" s="187"/>
      <c r="M1756" s="187"/>
      <c r="N1756" s="187"/>
      <c r="O1756" s="187"/>
      <c r="P1756" s="187"/>
      <c r="Q1756" s="187"/>
      <c r="R1756" s="187"/>
      <c r="S1756" s="188"/>
    </row>
    <row r="1757" spans="2:19" ht="12.75">
      <c r="B1757" s="185"/>
      <c r="C1757" s="186"/>
      <c r="D1757" s="187"/>
      <c r="E1757" s="187"/>
      <c r="F1757" s="187"/>
      <c r="G1757" s="187"/>
      <c r="H1757" s="187"/>
      <c r="I1757" s="187"/>
      <c r="J1757" s="187"/>
      <c r="K1757" s="187"/>
      <c r="L1757" s="187"/>
      <c r="M1757" s="187"/>
      <c r="N1757" s="187"/>
      <c r="O1757" s="187"/>
      <c r="P1757" s="187"/>
      <c r="Q1757" s="187"/>
      <c r="R1757" s="187"/>
      <c r="S1757" s="188"/>
    </row>
    <row r="1758" spans="2:19" ht="12.75">
      <c r="B1758" s="185"/>
      <c r="C1758" s="186"/>
      <c r="D1758" s="187"/>
      <c r="E1758" s="187"/>
      <c r="F1758" s="187"/>
      <c r="G1758" s="187"/>
      <c r="H1758" s="187"/>
      <c r="I1758" s="187"/>
      <c r="J1758" s="187"/>
      <c r="K1758" s="187"/>
      <c r="L1758" s="187"/>
      <c r="M1758" s="187"/>
      <c r="N1758" s="187"/>
      <c r="O1758" s="187"/>
      <c r="P1758" s="187"/>
      <c r="Q1758" s="187"/>
      <c r="R1758" s="187"/>
      <c r="S1758" s="188"/>
    </row>
    <row r="1759" spans="2:19" ht="12.75">
      <c r="B1759" s="185"/>
      <c r="C1759" s="186"/>
      <c r="D1759" s="187"/>
      <c r="E1759" s="187"/>
      <c r="F1759" s="187"/>
      <c r="G1759" s="187"/>
      <c r="H1759" s="187"/>
      <c r="I1759" s="187"/>
      <c r="J1759" s="187"/>
      <c r="K1759" s="187"/>
      <c r="L1759" s="187"/>
      <c r="M1759" s="187"/>
      <c r="N1759" s="187"/>
      <c r="O1759" s="187"/>
      <c r="P1759" s="187"/>
      <c r="Q1759" s="187"/>
      <c r="R1759" s="187"/>
      <c r="S1759" s="188"/>
    </row>
    <row r="1760" spans="2:19" ht="12.75">
      <c r="B1760" s="185"/>
      <c r="C1760" s="186"/>
      <c r="D1760" s="187"/>
      <c r="E1760" s="187"/>
      <c r="F1760" s="187"/>
      <c r="G1760" s="187"/>
      <c r="H1760" s="187"/>
      <c r="I1760" s="187"/>
      <c r="J1760" s="187"/>
      <c r="K1760" s="187"/>
      <c r="L1760" s="187"/>
      <c r="M1760" s="187"/>
      <c r="N1760" s="187"/>
      <c r="O1760" s="187"/>
      <c r="P1760" s="187"/>
      <c r="Q1760" s="187"/>
      <c r="R1760" s="187"/>
      <c r="S1760" s="188"/>
    </row>
    <row r="1761" spans="2:19" ht="12.75">
      <c r="B1761" s="185"/>
      <c r="C1761" s="186"/>
      <c r="D1761" s="187"/>
      <c r="E1761" s="187"/>
      <c r="F1761" s="187"/>
      <c r="G1761" s="187"/>
      <c r="H1761" s="187"/>
      <c r="I1761" s="187"/>
      <c r="J1761" s="187"/>
      <c r="K1761" s="187"/>
      <c r="L1761" s="187"/>
      <c r="M1761" s="187"/>
      <c r="N1761" s="187"/>
      <c r="O1761" s="187"/>
      <c r="P1761" s="187"/>
      <c r="Q1761" s="187"/>
      <c r="R1761" s="187"/>
      <c r="S1761" s="188"/>
    </row>
    <row r="1762" spans="2:19" ht="12.75">
      <c r="B1762" s="185"/>
      <c r="C1762" s="186"/>
      <c r="D1762" s="187"/>
      <c r="E1762" s="187"/>
      <c r="F1762" s="187"/>
      <c r="G1762" s="187"/>
      <c r="H1762" s="187"/>
      <c r="I1762" s="187"/>
      <c r="J1762" s="187"/>
      <c r="K1762" s="187"/>
      <c r="L1762" s="187"/>
      <c r="M1762" s="187"/>
      <c r="N1762" s="187"/>
      <c r="O1762" s="187"/>
      <c r="P1762" s="187"/>
      <c r="Q1762" s="187"/>
      <c r="R1762" s="187"/>
      <c r="S1762" s="188"/>
    </row>
    <row r="1763" spans="2:19" ht="12.75">
      <c r="B1763" s="185"/>
      <c r="C1763" s="186"/>
      <c r="D1763" s="187"/>
      <c r="E1763" s="187"/>
      <c r="F1763" s="187"/>
      <c r="G1763" s="187"/>
      <c r="H1763" s="187"/>
      <c r="I1763" s="187"/>
      <c r="J1763" s="187"/>
      <c r="K1763" s="187"/>
      <c r="L1763" s="187"/>
      <c r="M1763" s="187"/>
      <c r="N1763" s="187"/>
      <c r="O1763" s="187"/>
      <c r="P1763" s="187"/>
      <c r="Q1763" s="187"/>
      <c r="R1763" s="187"/>
      <c r="S1763" s="188"/>
    </row>
    <row r="1764" spans="2:19" ht="12.75">
      <c r="B1764" s="185"/>
      <c r="C1764" s="186"/>
      <c r="D1764" s="187"/>
      <c r="E1764" s="187"/>
      <c r="F1764" s="187"/>
      <c r="G1764" s="187"/>
      <c r="H1764" s="187"/>
      <c r="I1764" s="187"/>
      <c r="J1764" s="187"/>
      <c r="K1764" s="187"/>
      <c r="L1764" s="187"/>
      <c r="M1764" s="187"/>
      <c r="N1764" s="187"/>
      <c r="O1764" s="187"/>
      <c r="P1764" s="187"/>
      <c r="Q1764" s="187"/>
      <c r="R1764" s="187"/>
      <c r="S1764" s="188"/>
    </row>
    <row r="1765" spans="2:19" ht="12.75">
      <c r="B1765" s="185"/>
      <c r="C1765" s="186"/>
      <c r="D1765" s="187"/>
      <c r="E1765" s="187"/>
      <c r="F1765" s="187"/>
      <c r="G1765" s="187"/>
      <c r="H1765" s="187"/>
      <c r="I1765" s="187"/>
      <c r="J1765" s="187"/>
      <c r="K1765" s="187"/>
      <c r="L1765" s="187"/>
      <c r="M1765" s="187"/>
      <c r="N1765" s="187"/>
      <c r="O1765" s="187"/>
      <c r="P1765" s="187"/>
      <c r="Q1765" s="187"/>
      <c r="R1765" s="187"/>
      <c r="S1765" s="188"/>
    </row>
    <row r="1766" spans="2:19" ht="12.75">
      <c r="B1766" s="185"/>
      <c r="C1766" s="186"/>
      <c r="D1766" s="187"/>
      <c r="E1766" s="187"/>
      <c r="F1766" s="187"/>
      <c r="G1766" s="187"/>
      <c r="H1766" s="187"/>
      <c r="I1766" s="187"/>
      <c r="J1766" s="187"/>
      <c r="K1766" s="187"/>
      <c r="L1766" s="187"/>
      <c r="M1766" s="187"/>
      <c r="N1766" s="187"/>
      <c r="O1766" s="187"/>
      <c r="P1766" s="187"/>
      <c r="Q1766" s="187"/>
      <c r="R1766" s="187"/>
      <c r="S1766" s="188"/>
    </row>
    <row r="1767" spans="2:19" ht="12.75">
      <c r="B1767" s="185"/>
      <c r="C1767" s="186"/>
      <c r="D1767" s="187"/>
      <c r="E1767" s="187"/>
      <c r="F1767" s="187"/>
      <c r="G1767" s="187"/>
      <c r="H1767" s="187"/>
      <c r="I1767" s="187"/>
      <c r="J1767" s="187"/>
      <c r="K1767" s="187"/>
      <c r="L1767" s="187"/>
      <c r="M1767" s="187"/>
      <c r="N1767" s="187"/>
      <c r="O1767" s="187"/>
      <c r="P1767" s="187"/>
      <c r="Q1767" s="187"/>
      <c r="R1767" s="187"/>
      <c r="S1767" s="188"/>
    </row>
    <row r="1768" spans="2:19" ht="12.75">
      <c r="B1768" s="185"/>
      <c r="C1768" s="186"/>
      <c r="D1768" s="187"/>
      <c r="E1768" s="187"/>
      <c r="F1768" s="187"/>
      <c r="G1768" s="187"/>
      <c r="H1768" s="187"/>
      <c r="I1768" s="187"/>
      <c r="J1768" s="187"/>
      <c r="K1768" s="187"/>
      <c r="L1768" s="187"/>
      <c r="M1768" s="187"/>
      <c r="N1768" s="187"/>
      <c r="O1768" s="187"/>
      <c r="P1768" s="187"/>
      <c r="Q1768" s="187"/>
      <c r="R1768" s="187"/>
      <c r="S1768" s="188"/>
    </row>
    <row r="1769" spans="2:19" ht="12.75">
      <c r="B1769" s="185"/>
      <c r="C1769" s="186"/>
      <c r="D1769" s="187"/>
      <c r="E1769" s="187"/>
      <c r="F1769" s="187"/>
      <c r="G1769" s="187"/>
      <c r="H1769" s="187"/>
      <c r="I1769" s="187"/>
      <c r="J1769" s="187"/>
      <c r="K1769" s="187"/>
      <c r="L1769" s="187"/>
      <c r="M1769" s="187"/>
      <c r="N1769" s="187"/>
      <c r="O1769" s="187"/>
      <c r="P1769" s="187"/>
      <c r="Q1769" s="187"/>
      <c r="R1769" s="187"/>
      <c r="S1769" s="188"/>
    </row>
    <row r="1770" spans="2:19" ht="12.75">
      <c r="B1770" s="185"/>
      <c r="C1770" s="186"/>
      <c r="D1770" s="187"/>
      <c r="E1770" s="187"/>
      <c r="F1770" s="187"/>
      <c r="G1770" s="187"/>
      <c r="H1770" s="187"/>
      <c r="I1770" s="187"/>
      <c r="J1770" s="187"/>
      <c r="K1770" s="187"/>
      <c r="L1770" s="187"/>
      <c r="M1770" s="187"/>
      <c r="N1770" s="187"/>
      <c r="O1770" s="187"/>
      <c r="P1770" s="187"/>
      <c r="Q1770" s="187"/>
      <c r="R1770" s="187"/>
      <c r="S1770" s="188"/>
    </row>
    <row r="1771" spans="2:19" ht="12.75">
      <c r="B1771" s="185"/>
      <c r="C1771" s="186"/>
      <c r="D1771" s="187"/>
      <c r="E1771" s="187"/>
      <c r="F1771" s="187"/>
      <c r="G1771" s="187"/>
      <c r="H1771" s="187"/>
      <c r="I1771" s="187"/>
      <c r="J1771" s="187"/>
      <c r="K1771" s="187"/>
      <c r="L1771" s="187"/>
      <c r="M1771" s="187"/>
      <c r="N1771" s="187"/>
      <c r="O1771" s="187"/>
      <c r="P1771" s="187"/>
      <c r="Q1771" s="187"/>
      <c r="R1771" s="187"/>
      <c r="S1771" s="188"/>
    </row>
    <row r="1772" spans="2:19" ht="12.75">
      <c r="B1772" s="185"/>
      <c r="C1772" s="186"/>
      <c r="D1772" s="187"/>
      <c r="E1772" s="187"/>
      <c r="F1772" s="187"/>
      <c r="G1772" s="187"/>
      <c r="H1772" s="187"/>
      <c r="I1772" s="187"/>
      <c r="J1772" s="187"/>
      <c r="K1772" s="187"/>
      <c r="L1772" s="187"/>
      <c r="M1772" s="187"/>
      <c r="N1772" s="187"/>
      <c r="O1772" s="187"/>
      <c r="P1772" s="187"/>
      <c r="Q1772" s="187"/>
      <c r="R1772" s="187"/>
      <c r="S1772" s="188"/>
    </row>
    <row r="1773" spans="2:19" ht="12.75">
      <c r="B1773" s="185"/>
      <c r="C1773" s="186"/>
      <c r="D1773" s="187"/>
      <c r="E1773" s="187"/>
      <c r="F1773" s="187"/>
      <c r="G1773" s="187"/>
      <c r="H1773" s="187"/>
      <c r="I1773" s="187"/>
      <c r="J1773" s="187"/>
      <c r="K1773" s="187"/>
      <c r="L1773" s="187"/>
      <c r="M1773" s="187"/>
      <c r="N1773" s="187"/>
      <c r="O1773" s="187"/>
      <c r="P1773" s="187"/>
      <c r="Q1773" s="187"/>
      <c r="R1773" s="187"/>
      <c r="S1773" s="188"/>
    </row>
    <row r="1774" spans="2:19" ht="12.75">
      <c r="B1774" s="185"/>
      <c r="C1774" s="186"/>
      <c r="D1774" s="187"/>
      <c r="E1774" s="187"/>
      <c r="F1774" s="187"/>
      <c r="G1774" s="187"/>
      <c r="H1774" s="187"/>
      <c r="I1774" s="187"/>
      <c r="J1774" s="187"/>
      <c r="K1774" s="187"/>
      <c r="L1774" s="187"/>
      <c r="M1774" s="187"/>
      <c r="N1774" s="187"/>
      <c r="O1774" s="187"/>
      <c r="P1774" s="187"/>
      <c r="Q1774" s="187"/>
      <c r="R1774" s="187"/>
      <c r="S1774" s="188"/>
    </row>
    <row r="1775" spans="2:19" ht="12.75">
      <c r="B1775" s="185"/>
      <c r="C1775" s="186"/>
      <c r="D1775" s="187"/>
      <c r="E1775" s="187"/>
      <c r="F1775" s="187"/>
      <c r="G1775" s="187"/>
      <c r="H1775" s="187"/>
      <c r="I1775" s="187"/>
      <c r="J1775" s="187"/>
      <c r="K1775" s="187"/>
      <c r="L1775" s="187"/>
      <c r="M1775" s="187"/>
      <c r="N1775" s="187"/>
      <c r="O1775" s="187"/>
      <c r="P1775" s="187"/>
      <c r="Q1775" s="187"/>
      <c r="R1775" s="187"/>
      <c r="S1775" s="188"/>
    </row>
    <row r="1776" spans="2:19" ht="12.75">
      <c r="B1776" s="185"/>
      <c r="C1776" s="186"/>
      <c r="D1776" s="187"/>
      <c r="E1776" s="187"/>
      <c r="F1776" s="187"/>
      <c r="G1776" s="187"/>
      <c r="H1776" s="187"/>
      <c r="I1776" s="187"/>
      <c r="J1776" s="187"/>
      <c r="K1776" s="187"/>
      <c r="L1776" s="187"/>
      <c r="M1776" s="187"/>
      <c r="N1776" s="187"/>
      <c r="O1776" s="187"/>
      <c r="P1776" s="187"/>
      <c r="Q1776" s="187"/>
      <c r="R1776" s="187"/>
      <c r="S1776" s="188"/>
    </row>
    <row r="1777" spans="2:19" ht="12.75">
      <c r="B1777" s="185"/>
      <c r="C1777" s="186"/>
      <c r="D1777" s="187"/>
      <c r="E1777" s="187"/>
      <c r="F1777" s="187"/>
      <c r="G1777" s="187"/>
      <c r="H1777" s="187"/>
      <c r="I1777" s="187"/>
      <c r="J1777" s="187"/>
      <c r="K1777" s="187"/>
      <c r="L1777" s="187"/>
      <c r="M1777" s="187"/>
      <c r="N1777" s="187"/>
      <c r="O1777" s="187"/>
      <c r="P1777" s="187"/>
      <c r="Q1777" s="187"/>
      <c r="R1777" s="187"/>
      <c r="S1777" s="188"/>
    </row>
    <row r="1778" spans="2:19" ht="12.75">
      <c r="B1778" s="185"/>
      <c r="C1778" s="186"/>
      <c r="D1778" s="187"/>
      <c r="E1778" s="187"/>
      <c r="F1778" s="187"/>
      <c r="G1778" s="187"/>
      <c r="H1778" s="187"/>
      <c r="I1778" s="187"/>
      <c r="J1778" s="187"/>
      <c r="K1778" s="187"/>
      <c r="L1778" s="187"/>
      <c r="M1778" s="187"/>
      <c r="N1778" s="187"/>
      <c r="O1778" s="187"/>
      <c r="P1778" s="187"/>
      <c r="Q1778" s="187"/>
      <c r="R1778" s="187"/>
      <c r="S1778" s="188"/>
    </row>
    <row r="1779" spans="2:19" ht="12.75">
      <c r="B1779" s="185"/>
      <c r="C1779" s="186"/>
      <c r="D1779" s="187"/>
      <c r="E1779" s="187"/>
      <c r="F1779" s="187"/>
      <c r="G1779" s="187"/>
      <c r="H1779" s="187"/>
      <c r="I1779" s="187"/>
      <c r="J1779" s="187"/>
      <c r="K1779" s="187"/>
      <c r="L1779" s="187"/>
      <c r="M1779" s="187"/>
      <c r="N1779" s="187"/>
      <c r="O1779" s="187"/>
      <c r="P1779" s="187"/>
      <c r="Q1779" s="187"/>
      <c r="R1779" s="187"/>
      <c r="S1779" s="188"/>
    </row>
    <row r="1780" spans="2:19" ht="12.75">
      <c r="B1780" s="185"/>
      <c r="C1780" s="186"/>
      <c r="D1780" s="187"/>
      <c r="E1780" s="187"/>
      <c r="F1780" s="187"/>
      <c r="G1780" s="187"/>
      <c r="H1780" s="187"/>
      <c r="I1780" s="187"/>
      <c r="J1780" s="187"/>
      <c r="K1780" s="187"/>
      <c r="L1780" s="187"/>
      <c r="M1780" s="187"/>
      <c r="N1780" s="187"/>
      <c r="O1780" s="187"/>
      <c r="P1780" s="187"/>
      <c r="Q1780" s="187"/>
      <c r="R1780" s="187"/>
      <c r="S1780" s="188"/>
    </row>
    <row r="1781" spans="2:19" ht="12.75">
      <c r="B1781" s="185"/>
      <c r="C1781" s="186"/>
      <c r="D1781" s="187"/>
      <c r="E1781" s="187"/>
      <c r="F1781" s="187"/>
      <c r="G1781" s="187"/>
      <c r="H1781" s="187"/>
      <c r="I1781" s="187"/>
      <c r="J1781" s="187"/>
      <c r="K1781" s="187"/>
      <c r="L1781" s="187"/>
      <c r="M1781" s="187"/>
      <c r="N1781" s="187"/>
      <c r="O1781" s="187"/>
      <c r="P1781" s="187"/>
      <c r="Q1781" s="187"/>
      <c r="R1781" s="187"/>
      <c r="S1781" s="188"/>
    </row>
    <row r="1782" spans="2:19" ht="12.75">
      <c r="B1782" s="185"/>
      <c r="C1782" s="186"/>
      <c r="D1782" s="187"/>
      <c r="E1782" s="187"/>
      <c r="F1782" s="187"/>
      <c r="G1782" s="187"/>
      <c r="H1782" s="187"/>
      <c r="I1782" s="187"/>
      <c r="J1782" s="187"/>
      <c r="K1782" s="187"/>
      <c r="L1782" s="187"/>
      <c r="M1782" s="187"/>
      <c r="N1782" s="187"/>
      <c r="O1782" s="187"/>
      <c r="P1782" s="187"/>
      <c r="Q1782" s="187"/>
      <c r="R1782" s="187"/>
      <c r="S1782" s="188"/>
    </row>
    <row r="1783" spans="2:19" ht="12.75">
      <c r="B1783" s="185"/>
      <c r="C1783" s="186"/>
      <c r="D1783" s="187"/>
      <c r="E1783" s="187"/>
      <c r="F1783" s="187"/>
      <c r="G1783" s="187"/>
      <c r="H1783" s="187"/>
      <c r="I1783" s="187"/>
      <c r="J1783" s="187"/>
      <c r="K1783" s="187"/>
      <c r="L1783" s="187"/>
      <c r="M1783" s="187"/>
      <c r="N1783" s="187"/>
      <c r="O1783" s="187"/>
      <c r="P1783" s="187"/>
      <c r="Q1783" s="187"/>
      <c r="R1783" s="187"/>
      <c r="S1783" s="188"/>
    </row>
    <row r="1784" spans="2:19" ht="12.75">
      <c r="B1784" s="185"/>
      <c r="C1784" s="186"/>
      <c r="D1784" s="187"/>
      <c r="E1784" s="187"/>
      <c r="F1784" s="187"/>
      <c r="G1784" s="187"/>
      <c r="H1784" s="187"/>
      <c r="I1784" s="187"/>
      <c r="J1784" s="187"/>
      <c r="K1784" s="187"/>
      <c r="L1784" s="187"/>
      <c r="M1784" s="187"/>
      <c r="N1784" s="187"/>
      <c r="O1784" s="187"/>
      <c r="P1784" s="187"/>
      <c r="Q1784" s="187"/>
      <c r="R1784" s="187"/>
      <c r="S1784" s="188"/>
    </row>
    <row r="1785" spans="2:19" ht="12.75">
      <c r="B1785" s="185"/>
      <c r="C1785" s="186"/>
      <c r="D1785" s="187"/>
      <c r="E1785" s="187"/>
      <c r="F1785" s="187"/>
      <c r="G1785" s="187"/>
      <c r="H1785" s="187"/>
      <c r="I1785" s="187"/>
      <c r="J1785" s="187"/>
      <c r="K1785" s="187"/>
      <c r="L1785" s="187"/>
      <c r="M1785" s="187"/>
      <c r="N1785" s="187"/>
      <c r="O1785" s="187"/>
      <c r="P1785" s="187"/>
      <c r="Q1785" s="187"/>
      <c r="R1785" s="187"/>
      <c r="S1785" s="188"/>
    </row>
    <row r="1786" spans="2:19" ht="12.75">
      <c r="B1786" s="185"/>
      <c r="C1786" s="186"/>
      <c r="D1786" s="187"/>
      <c r="E1786" s="187"/>
      <c r="F1786" s="187"/>
      <c r="G1786" s="187"/>
      <c r="H1786" s="187"/>
      <c r="I1786" s="187"/>
      <c r="J1786" s="187"/>
      <c r="K1786" s="187"/>
      <c r="L1786" s="187"/>
      <c r="M1786" s="187"/>
      <c r="N1786" s="187"/>
      <c r="O1786" s="187"/>
      <c r="P1786" s="187"/>
      <c r="Q1786" s="187"/>
      <c r="R1786" s="187"/>
      <c r="S1786" s="188"/>
    </row>
    <row r="1787" spans="2:19" ht="12.75">
      <c r="B1787" s="185"/>
      <c r="C1787" s="186"/>
      <c r="D1787" s="187"/>
      <c r="E1787" s="187"/>
      <c r="F1787" s="187"/>
      <c r="G1787" s="187"/>
      <c r="H1787" s="187"/>
      <c r="I1787" s="187"/>
      <c r="J1787" s="187"/>
      <c r="K1787" s="187"/>
      <c r="L1787" s="187"/>
      <c r="M1787" s="187"/>
      <c r="N1787" s="187"/>
      <c r="O1787" s="187"/>
      <c r="P1787" s="187"/>
      <c r="Q1787" s="187"/>
      <c r="R1787" s="187"/>
      <c r="S1787" s="188"/>
    </row>
    <row r="1788" spans="2:19" ht="12.75">
      <c r="B1788" s="185"/>
      <c r="C1788" s="186"/>
      <c r="D1788" s="187"/>
      <c r="E1788" s="187"/>
      <c r="F1788" s="187"/>
      <c r="G1788" s="187"/>
      <c r="H1788" s="187"/>
      <c r="I1788" s="187"/>
      <c r="J1788" s="187"/>
      <c r="K1788" s="187"/>
      <c r="L1788" s="187"/>
      <c r="M1788" s="187"/>
      <c r="N1788" s="187"/>
      <c r="O1788" s="187"/>
      <c r="P1788" s="187"/>
      <c r="Q1788" s="187"/>
      <c r="R1788" s="187"/>
      <c r="S1788" s="188"/>
    </row>
    <row r="1789" spans="2:19" ht="12.75">
      <c r="B1789" s="185"/>
      <c r="C1789" s="186"/>
      <c r="D1789" s="187"/>
      <c r="E1789" s="187"/>
      <c r="F1789" s="187"/>
      <c r="G1789" s="187"/>
      <c r="H1789" s="187"/>
      <c r="I1789" s="187"/>
      <c r="J1789" s="187"/>
      <c r="K1789" s="187"/>
      <c r="L1789" s="187"/>
      <c r="M1789" s="187"/>
      <c r="N1789" s="187"/>
      <c r="O1789" s="187"/>
      <c r="P1789" s="187"/>
      <c r="Q1789" s="187"/>
      <c r="R1789" s="187"/>
      <c r="S1789" s="188"/>
    </row>
    <row r="1790" spans="2:19" ht="12.75">
      <c r="B1790" s="185"/>
      <c r="C1790" s="186"/>
      <c r="D1790" s="187"/>
      <c r="E1790" s="187"/>
      <c r="F1790" s="187"/>
      <c r="G1790" s="187"/>
      <c r="H1790" s="187"/>
      <c r="I1790" s="187"/>
      <c r="J1790" s="187"/>
      <c r="K1790" s="187"/>
      <c r="L1790" s="187"/>
      <c r="M1790" s="187"/>
      <c r="N1790" s="187"/>
      <c r="O1790" s="187"/>
      <c r="P1790" s="187"/>
      <c r="Q1790" s="187"/>
      <c r="R1790" s="187"/>
      <c r="S1790" s="188"/>
    </row>
    <row r="1791" spans="2:19" ht="12.75">
      <c r="B1791" s="185"/>
      <c r="C1791" s="186"/>
      <c r="D1791" s="187"/>
      <c r="E1791" s="187"/>
      <c r="F1791" s="187"/>
      <c r="G1791" s="187"/>
      <c r="H1791" s="187"/>
      <c r="I1791" s="187"/>
      <c r="J1791" s="187"/>
      <c r="K1791" s="187"/>
      <c r="L1791" s="187"/>
      <c r="M1791" s="187"/>
      <c r="N1791" s="187"/>
      <c r="O1791" s="187"/>
      <c r="P1791" s="187"/>
      <c r="Q1791" s="187"/>
      <c r="R1791" s="187"/>
      <c r="S1791" s="188"/>
    </row>
    <row r="1792" spans="2:19" ht="12.75">
      <c r="B1792" s="185"/>
      <c r="C1792" s="186"/>
      <c r="D1792" s="187"/>
      <c r="E1792" s="187"/>
      <c r="F1792" s="187"/>
      <c r="G1792" s="187"/>
      <c r="H1792" s="187"/>
      <c r="I1792" s="187"/>
      <c r="J1792" s="187"/>
      <c r="K1792" s="187"/>
      <c r="L1792" s="187"/>
      <c r="M1792" s="187"/>
      <c r="N1792" s="187"/>
      <c r="O1792" s="187"/>
      <c r="P1792" s="187"/>
      <c r="Q1792" s="187"/>
      <c r="R1792" s="187"/>
      <c r="S1792" s="188"/>
    </row>
    <row r="1793" spans="2:19" ht="12.75">
      <c r="B1793" s="185"/>
      <c r="C1793" s="186"/>
      <c r="D1793" s="187"/>
      <c r="E1793" s="187"/>
      <c r="F1793" s="187"/>
      <c r="G1793" s="187"/>
      <c r="H1793" s="187"/>
      <c r="I1793" s="187"/>
      <c r="J1793" s="187"/>
      <c r="K1793" s="187"/>
      <c r="L1793" s="187"/>
      <c r="M1793" s="187"/>
      <c r="N1793" s="187"/>
      <c r="O1793" s="187"/>
      <c r="P1793" s="187"/>
      <c r="Q1793" s="187"/>
      <c r="R1793" s="187"/>
      <c r="S1793" s="188"/>
    </row>
    <row r="1794" spans="2:19" ht="12.75">
      <c r="B1794" s="185"/>
      <c r="C1794" s="186"/>
      <c r="D1794" s="187"/>
      <c r="E1794" s="187"/>
      <c r="F1794" s="187"/>
      <c r="G1794" s="187"/>
      <c r="H1794" s="187"/>
      <c r="I1794" s="187"/>
      <c r="J1794" s="187"/>
      <c r="K1794" s="187"/>
      <c r="L1794" s="187"/>
      <c r="M1794" s="187"/>
      <c r="N1794" s="187"/>
      <c r="O1794" s="187"/>
      <c r="P1794" s="187"/>
      <c r="Q1794" s="187"/>
      <c r="R1794" s="187"/>
      <c r="S1794" s="188"/>
    </row>
    <row r="1795" spans="2:19" ht="12.75">
      <c r="B1795" s="185"/>
      <c r="C1795" s="186"/>
      <c r="D1795" s="187"/>
      <c r="E1795" s="187"/>
      <c r="F1795" s="187"/>
      <c r="G1795" s="187"/>
      <c r="H1795" s="187"/>
      <c r="I1795" s="187"/>
      <c r="J1795" s="187"/>
      <c r="K1795" s="187"/>
      <c r="L1795" s="187"/>
      <c r="M1795" s="187"/>
      <c r="N1795" s="187"/>
      <c r="O1795" s="187"/>
      <c r="P1795" s="187"/>
      <c r="Q1795" s="187"/>
      <c r="R1795" s="187"/>
      <c r="S1795" s="188"/>
    </row>
    <row r="1796" spans="2:19" ht="12.75">
      <c r="B1796" s="185"/>
      <c r="C1796" s="186"/>
      <c r="D1796" s="187"/>
      <c r="E1796" s="187"/>
      <c r="F1796" s="187"/>
      <c r="G1796" s="187"/>
      <c r="H1796" s="187"/>
      <c r="I1796" s="187"/>
      <c r="J1796" s="187"/>
      <c r="K1796" s="187"/>
      <c r="L1796" s="187"/>
      <c r="M1796" s="187"/>
      <c r="N1796" s="187"/>
      <c r="O1796" s="187"/>
      <c r="P1796" s="187"/>
      <c r="Q1796" s="187"/>
      <c r="R1796" s="187"/>
      <c r="S1796" s="188"/>
    </row>
    <row r="1797" spans="2:19" ht="12.75">
      <c r="B1797" s="185"/>
      <c r="C1797" s="186"/>
      <c r="D1797" s="187"/>
      <c r="E1797" s="187"/>
      <c r="F1797" s="187"/>
      <c r="G1797" s="187"/>
      <c r="H1797" s="187"/>
      <c r="I1797" s="187"/>
      <c r="J1797" s="187"/>
      <c r="K1797" s="187"/>
      <c r="L1797" s="187"/>
      <c r="M1797" s="187"/>
      <c r="N1797" s="187"/>
      <c r="O1797" s="187"/>
      <c r="P1797" s="187"/>
      <c r="Q1797" s="187"/>
      <c r="R1797" s="187"/>
      <c r="S1797" s="188"/>
    </row>
    <row r="1798" spans="2:19" ht="12.75">
      <c r="B1798" s="185"/>
      <c r="C1798" s="186"/>
      <c r="D1798" s="187"/>
      <c r="E1798" s="187"/>
      <c r="F1798" s="187"/>
      <c r="G1798" s="187"/>
      <c r="H1798" s="187"/>
      <c r="I1798" s="187"/>
      <c r="J1798" s="187"/>
      <c r="K1798" s="187"/>
      <c r="L1798" s="187"/>
      <c r="M1798" s="187"/>
      <c r="N1798" s="187"/>
      <c r="O1798" s="187"/>
      <c r="P1798" s="187"/>
      <c r="Q1798" s="187"/>
      <c r="R1798" s="187"/>
      <c r="S1798" s="188"/>
    </row>
    <row r="1799" spans="2:19" ht="12.75">
      <c r="B1799" s="185"/>
      <c r="C1799" s="186"/>
      <c r="D1799" s="187"/>
      <c r="E1799" s="187"/>
      <c r="F1799" s="187"/>
      <c r="G1799" s="187"/>
      <c r="H1799" s="187"/>
      <c r="I1799" s="187"/>
      <c r="J1799" s="187"/>
      <c r="K1799" s="187"/>
      <c r="L1799" s="187"/>
      <c r="M1799" s="187"/>
      <c r="N1799" s="187"/>
      <c r="O1799" s="187"/>
      <c r="P1799" s="187"/>
      <c r="Q1799" s="187"/>
      <c r="R1799" s="187"/>
      <c r="S1799" s="188"/>
    </row>
    <row r="1800" spans="2:19" ht="12.75">
      <c r="B1800" s="185"/>
      <c r="C1800" s="186"/>
      <c r="D1800" s="187"/>
      <c r="E1800" s="187"/>
      <c r="F1800" s="187"/>
      <c r="G1800" s="187"/>
      <c r="H1800" s="187"/>
      <c r="I1800" s="187"/>
      <c r="J1800" s="187"/>
      <c r="K1800" s="187"/>
      <c r="L1800" s="187"/>
      <c r="M1800" s="187"/>
      <c r="N1800" s="187"/>
      <c r="O1800" s="187"/>
      <c r="P1800" s="187"/>
      <c r="Q1800" s="187"/>
      <c r="R1800" s="187"/>
      <c r="S1800" s="188"/>
    </row>
    <row r="1801" spans="2:19" ht="12.75">
      <c r="B1801" s="185"/>
      <c r="C1801" s="186"/>
      <c r="D1801" s="187"/>
      <c r="E1801" s="187"/>
      <c r="F1801" s="187"/>
      <c r="G1801" s="187"/>
      <c r="H1801" s="187"/>
      <c r="I1801" s="187"/>
      <c r="J1801" s="187"/>
      <c r="K1801" s="187"/>
      <c r="L1801" s="187"/>
      <c r="M1801" s="187"/>
      <c r="N1801" s="187"/>
      <c r="O1801" s="187"/>
      <c r="P1801" s="187"/>
      <c r="Q1801" s="187"/>
      <c r="R1801" s="187"/>
      <c r="S1801" s="188"/>
    </row>
    <row r="1802" spans="2:19" ht="12.75">
      <c r="B1802" s="185"/>
      <c r="C1802" s="186"/>
      <c r="D1802" s="187"/>
      <c r="E1802" s="187"/>
      <c r="F1802" s="187"/>
      <c r="G1802" s="187"/>
      <c r="H1802" s="187"/>
      <c r="I1802" s="187"/>
      <c r="J1802" s="187"/>
      <c r="K1802" s="187"/>
      <c r="L1802" s="187"/>
      <c r="M1802" s="187"/>
      <c r="N1802" s="187"/>
      <c r="O1802" s="187"/>
      <c r="P1802" s="187"/>
      <c r="Q1802" s="187"/>
      <c r="R1802" s="187"/>
      <c r="S1802" s="188"/>
    </row>
    <row r="1803" spans="2:19" ht="12.75">
      <c r="B1803" s="185"/>
      <c r="C1803" s="186"/>
      <c r="D1803" s="187"/>
      <c r="E1803" s="187"/>
      <c r="F1803" s="187"/>
      <c r="G1803" s="187"/>
      <c r="H1803" s="187"/>
      <c r="I1803" s="187"/>
      <c r="J1803" s="187"/>
      <c r="K1803" s="187"/>
      <c r="L1803" s="187"/>
      <c r="M1803" s="187"/>
      <c r="N1803" s="187"/>
      <c r="O1803" s="187"/>
      <c r="P1803" s="187"/>
      <c r="Q1803" s="187"/>
      <c r="R1803" s="187"/>
      <c r="S1803" s="188"/>
    </row>
    <row r="1804" spans="2:19" ht="12.75">
      <c r="B1804" s="185"/>
      <c r="C1804" s="186"/>
      <c r="D1804" s="187"/>
      <c r="E1804" s="187"/>
      <c r="F1804" s="187"/>
      <c r="G1804" s="187"/>
      <c r="H1804" s="187"/>
      <c r="I1804" s="187"/>
      <c r="J1804" s="187"/>
      <c r="K1804" s="187"/>
      <c r="L1804" s="187"/>
      <c r="M1804" s="187"/>
      <c r="N1804" s="187"/>
      <c r="O1804" s="187"/>
      <c r="P1804" s="187"/>
      <c r="Q1804" s="187"/>
      <c r="R1804" s="187"/>
      <c r="S1804" s="188"/>
    </row>
    <row r="1805" spans="2:19" ht="12.75">
      <c r="B1805" s="185"/>
      <c r="C1805" s="186"/>
      <c r="D1805" s="187"/>
      <c r="E1805" s="187"/>
      <c r="F1805" s="187"/>
      <c r="G1805" s="187"/>
      <c r="H1805" s="187"/>
      <c r="I1805" s="187"/>
      <c r="J1805" s="187"/>
      <c r="K1805" s="187"/>
      <c r="L1805" s="187"/>
      <c r="M1805" s="187"/>
      <c r="N1805" s="187"/>
      <c r="O1805" s="187"/>
      <c r="P1805" s="187"/>
      <c r="Q1805" s="187"/>
      <c r="R1805" s="187"/>
      <c r="S1805" s="188"/>
    </row>
    <row r="1806" spans="2:19" ht="12.75">
      <c r="B1806" s="185"/>
      <c r="C1806" s="186"/>
      <c r="D1806" s="187"/>
      <c r="E1806" s="187"/>
      <c r="F1806" s="187"/>
      <c r="G1806" s="187"/>
      <c r="H1806" s="187"/>
      <c r="I1806" s="187"/>
      <c r="J1806" s="187"/>
      <c r="K1806" s="187"/>
      <c r="L1806" s="187"/>
      <c r="M1806" s="187"/>
      <c r="N1806" s="187"/>
      <c r="O1806" s="187"/>
      <c r="P1806" s="187"/>
      <c r="Q1806" s="187"/>
      <c r="R1806" s="187"/>
      <c r="S1806" s="188"/>
    </row>
    <row r="1807" spans="2:19" ht="12.75">
      <c r="B1807" s="185"/>
      <c r="C1807" s="186"/>
      <c r="D1807" s="187"/>
      <c r="E1807" s="187"/>
      <c r="F1807" s="187"/>
      <c r="G1807" s="187"/>
      <c r="H1807" s="187"/>
      <c r="I1807" s="187"/>
      <c r="J1807" s="187"/>
      <c r="K1807" s="187"/>
      <c r="L1807" s="187"/>
      <c r="M1807" s="187"/>
      <c r="N1807" s="187"/>
      <c r="O1807" s="187"/>
      <c r="P1807" s="187"/>
      <c r="Q1807" s="187"/>
      <c r="R1807" s="187"/>
      <c r="S1807" s="188"/>
    </row>
    <row r="1808" spans="2:19" ht="12.75">
      <c r="B1808" s="185"/>
      <c r="C1808" s="186"/>
      <c r="D1808" s="187"/>
      <c r="E1808" s="187"/>
      <c r="F1808" s="187"/>
      <c r="G1808" s="187"/>
      <c r="H1808" s="187"/>
      <c r="I1808" s="187"/>
      <c r="J1808" s="187"/>
      <c r="K1808" s="187"/>
      <c r="L1808" s="187"/>
      <c r="M1808" s="187"/>
      <c r="N1808" s="187"/>
      <c r="O1808" s="187"/>
      <c r="P1808" s="187"/>
      <c r="Q1808" s="187"/>
      <c r="R1808" s="187"/>
      <c r="S1808" s="188"/>
    </row>
    <row r="1809" spans="2:19" ht="12.75">
      <c r="B1809" s="185"/>
      <c r="C1809" s="186"/>
      <c r="D1809" s="187"/>
      <c r="E1809" s="187"/>
      <c r="F1809" s="187"/>
      <c r="G1809" s="187"/>
      <c r="H1809" s="187"/>
      <c r="I1809" s="187"/>
      <c r="J1809" s="187"/>
      <c r="K1809" s="187"/>
      <c r="L1809" s="187"/>
      <c r="M1809" s="187"/>
      <c r="N1809" s="187"/>
      <c r="O1809" s="187"/>
      <c r="P1809" s="187"/>
      <c r="Q1809" s="187"/>
      <c r="R1809" s="187"/>
      <c r="S1809" s="188"/>
    </row>
    <row r="1810" spans="2:19" ht="12.75">
      <c r="B1810" s="185"/>
      <c r="C1810" s="186"/>
      <c r="D1810" s="187"/>
      <c r="E1810" s="187"/>
      <c r="F1810" s="187"/>
      <c r="G1810" s="187"/>
      <c r="H1810" s="187"/>
      <c r="I1810" s="187"/>
      <c r="J1810" s="187"/>
      <c r="K1810" s="187"/>
      <c r="L1810" s="187"/>
      <c r="M1810" s="187"/>
      <c r="N1810" s="187"/>
      <c r="O1810" s="187"/>
      <c r="P1810" s="187"/>
      <c r="Q1810" s="187"/>
      <c r="R1810" s="187"/>
      <c r="S1810" s="188"/>
    </row>
    <row r="1811" spans="2:19" ht="12.75">
      <c r="B1811" s="185"/>
      <c r="C1811" s="186"/>
      <c r="D1811" s="187"/>
      <c r="E1811" s="187"/>
      <c r="F1811" s="187"/>
      <c r="G1811" s="187"/>
      <c r="H1811" s="187"/>
      <c r="I1811" s="187"/>
      <c r="J1811" s="187"/>
      <c r="K1811" s="187"/>
      <c r="L1811" s="187"/>
      <c r="M1811" s="187"/>
      <c r="N1811" s="187"/>
      <c r="O1811" s="187"/>
      <c r="P1811" s="187"/>
      <c r="Q1811" s="187"/>
      <c r="R1811" s="187"/>
      <c r="S1811" s="188"/>
    </row>
    <row r="1812" spans="2:19" ht="12.75">
      <c r="B1812" s="185"/>
      <c r="C1812" s="186"/>
      <c r="D1812" s="187"/>
      <c r="E1812" s="187"/>
      <c r="F1812" s="187"/>
      <c r="G1812" s="187"/>
      <c r="H1812" s="187"/>
      <c r="I1812" s="187"/>
      <c r="J1812" s="187"/>
      <c r="K1812" s="187"/>
      <c r="L1812" s="187"/>
      <c r="M1812" s="187"/>
      <c r="N1812" s="187"/>
      <c r="O1812" s="187"/>
      <c r="P1812" s="187"/>
      <c r="Q1812" s="187"/>
      <c r="R1812" s="187"/>
      <c r="S1812" s="188"/>
    </row>
    <row r="1813" spans="2:19" ht="12.75">
      <c r="B1813" s="185"/>
      <c r="C1813" s="186"/>
      <c r="D1813" s="187"/>
      <c r="E1813" s="187"/>
      <c r="F1813" s="187"/>
      <c r="G1813" s="187"/>
      <c r="H1813" s="187"/>
      <c r="I1813" s="187"/>
      <c r="J1813" s="187"/>
      <c r="K1813" s="187"/>
      <c r="L1813" s="187"/>
      <c r="M1813" s="187"/>
      <c r="N1813" s="187"/>
      <c r="O1813" s="187"/>
      <c r="P1813" s="187"/>
      <c r="Q1813" s="187"/>
      <c r="R1813" s="187"/>
      <c r="S1813" s="188"/>
    </row>
    <row r="1814" spans="2:19" ht="12.75">
      <c r="B1814" s="185"/>
      <c r="C1814" s="186"/>
      <c r="D1814" s="187"/>
      <c r="E1814" s="187"/>
      <c r="F1814" s="187"/>
      <c r="G1814" s="187"/>
      <c r="H1814" s="187"/>
      <c r="I1814" s="187"/>
      <c r="J1814" s="187"/>
      <c r="K1814" s="187"/>
      <c r="L1814" s="187"/>
      <c r="M1814" s="187"/>
      <c r="N1814" s="187"/>
      <c r="O1814" s="187"/>
      <c r="P1814" s="187"/>
      <c r="Q1814" s="187"/>
      <c r="R1814" s="187"/>
      <c r="S1814" s="188"/>
    </row>
    <row r="1815" spans="2:19" ht="12.75">
      <c r="B1815" s="185"/>
      <c r="C1815" s="186"/>
      <c r="D1815" s="187"/>
      <c r="E1815" s="187"/>
      <c r="F1815" s="187"/>
      <c r="G1815" s="187"/>
      <c r="H1815" s="187"/>
      <c r="I1815" s="187"/>
      <c r="J1815" s="187"/>
      <c r="K1815" s="187"/>
      <c r="L1815" s="187"/>
      <c r="M1815" s="187"/>
      <c r="N1815" s="187"/>
      <c r="O1815" s="187"/>
      <c r="P1815" s="187"/>
      <c r="Q1815" s="187"/>
      <c r="R1815" s="187"/>
      <c r="S1815" s="188"/>
    </row>
    <row r="1816" spans="2:19" ht="12.75">
      <c r="B1816" s="185"/>
      <c r="C1816" s="186"/>
      <c r="D1816" s="187"/>
      <c r="E1816" s="187"/>
      <c r="F1816" s="187"/>
      <c r="G1816" s="187"/>
      <c r="H1816" s="187"/>
      <c r="I1816" s="187"/>
      <c r="J1816" s="187"/>
      <c r="K1816" s="187"/>
      <c r="L1816" s="187"/>
      <c r="M1816" s="187"/>
      <c r="N1816" s="187"/>
      <c r="O1816" s="187"/>
      <c r="P1816" s="187"/>
      <c r="Q1816" s="187"/>
      <c r="R1816" s="187"/>
      <c r="S1816" s="188"/>
    </row>
    <row r="1817" spans="2:19" ht="12.75">
      <c r="B1817" s="185"/>
      <c r="C1817" s="186"/>
      <c r="D1817" s="187"/>
      <c r="E1817" s="187"/>
      <c r="F1817" s="187"/>
      <c r="G1817" s="187"/>
      <c r="H1817" s="187"/>
      <c r="I1817" s="187"/>
      <c r="J1817" s="187"/>
      <c r="K1817" s="187"/>
      <c r="L1817" s="187"/>
      <c r="M1817" s="187"/>
      <c r="N1817" s="187"/>
      <c r="O1817" s="187"/>
      <c r="P1817" s="187"/>
      <c r="Q1817" s="187"/>
      <c r="R1817" s="187"/>
      <c r="S1817" s="188"/>
    </row>
    <row r="1818" spans="2:19" ht="12.75">
      <c r="B1818" s="185"/>
      <c r="C1818" s="186"/>
      <c r="D1818" s="187"/>
      <c r="E1818" s="187"/>
      <c r="F1818" s="187"/>
      <c r="G1818" s="187"/>
      <c r="H1818" s="187"/>
      <c r="I1818" s="187"/>
      <c r="J1818" s="187"/>
      <c r="K1818" s="187"/>
      <c r="L1818" s="187"/>
      <c r="M1818" s="187"/>
      <c r="N1818" s="187"/>
      <c r="O1818" s="187"/>
      <c r="P1818" s="187"/>
      <c r="Q1818" s="187"/>
      <c r="R1818" s="187"/>
      <c r="S1818" s="188"/>
    </row>
    <row r="1819" spans="2:19" ht="12.75">
      <c r="B1819" s="185"/>
      <c r="C1819" s="186"/>
      <c r="D1819" s="187"/>
      <c r="E1819" s="187"/>
      <c r="F1819" s="187"/>
      <c r="G1819" s="187"/>
      <c r="H1819" s="187"/>
      <c r="I1819" s="187"/>
      <c r="J1819" s="187"/>
      <c r="K1819" s="187"/>
      <c r="L1819" s="187"/>
      <c r="M1819" s="187"/>
      <c r="N1819" s="187"/>
      <c r="O1819" s="187"/>
      <c r="P1819" s="187"/>
      <c r="Q1819" s="187"/>
      <c r="R1819" s="187"/>
      <c r="S1819" s="188"/>
    </row>
    <row r="1820" spans="2:19" ht="12.75">
      <c r="B1820" s="185"/>
      <c r="C1820" s="186"/>
      <c r="D1820" s="187"/>
      <c r="E1820" s="187"/>
      <c r="F1820" s="187"/>
      <c r="G1820" s="187"/>
      <c r="H1820" s="187"/>
      <c r="I1820" s="187"/>
      <c r="J1820" s="187"/>
      <c r="K1820" s="187"/>
      <c r="L1820" s="187"/>
      <c r="M1820" s="187"/>
      <c r="N1820" s="187"/>
      <c r="O1820" s="187"/>
      <c r="P1820" s="187"/>
      <c r="Q1820" s="187"/>
      <c r="R1820" s="187"/>
      <c r="S1820" s="188"/>
    </row>
    <row r="1821" spans="2:19" ht="12.75">
      <c r="B1821" s="185"/>
      <c r="C1821" s="186"/>
      <c r="D1821" s="187"/>
      <c r="E1821" s="187"/>
      <c r="F1821" s="187"/>
      <c r="G1821" s="187"/>
      <c r="H1821" s="187"/>
      <c r="I1821" s="187"/>
      <c r="J1821" s="187"/>
      <c r="K1821" s="187"/>
      <c r="L1821" s="187"/>
      <c r="M1821" s="187"/>
      <c r="N1821" s="187"/>
      <c r="O1821" s="187"/>
      <c r="P1821" s="187"/>
      <c r="Q1821" s="187"/>
      <c r="R1821" s="187"/>
      <c r="S1821" s="188"/>
    </row>
    <row r="1822" spans="2:19" ht="12.75">
      <c r="B1822" s="185"/>
      <c r="C1822" s="186"/>
      <c r="D1822" s="187"/>
      <c r="E1822" s="187"/>
      <c r="F1822" s="187"/>
      <c r="G1822" s="187"/>
      <c r="H1822" s="187"/>
      <c r="I1822" s="187"/>
      <c r="J1822" s="187"/>
      <c r="K1822" s="187"/>
      <c r="L1822" s="187"/>
      <c r="M1822" s="187"/>
      <c r="N1822" s="187"/>
      <c r="O1822" s="187"/>
      <c r="P1822" s="187"/>
      <c r="Q1822" s="187"/>
      <c r="R1822" s="187"/>
      <c r="S1822" s="188"/>
    </row>
    <row r="1823" spans="2:19" ht="12.75">
      <c r="B1823" s="185"/>
      <c r="C1823" s="186"/>
      <c r="D1823" s="187"/>
      <c r="E1823" s="187"/>
      <c r="F1823" s="187"/>
      <c r="G1823" s="187"/>
      <c r="H1823" s="187"/>
      <c r="I1823" s="187"/>
      <c r="J1823" s="187"/>
      <c r="K1823" s="187"/>
      <c r="L1823" s="187"/>
      <c r="M1823" s="187"/>
      <c r="N1823" s="187"/>
      <c r="O1823" s="187"/>
      <c r="P1823" s="187"/>
      <c r="Q1823" s="187"/>
      <c r="R1823" s="187"/>
      <c r="S1823" s="188"/>
    </row>
    <row r="1824" spans="2:19" ht="12.75">
      <c r="B1824" s="185"/>
      <c r="C1824" s="186"/>
      <c r="D1824" s="187"/>
      <c r="E1824" s="187"/>
      <c r="F1824" s="187"/>
      <c r="G1824" s="187"/>
      <c r="H1824" s="187"/>
      <c r="I1824" s="187"/>
      <c r="J1824" s="187"/>
      <c r="K1824" s="187"/>
      <c r="L1824" s="187"/>
      <c r="M1824" s="187"/>
      <c r="N1824" s="187"/>
      <c r="O1824" s="187"/>
      <c r="P1824" s="187"/>
      <c r="Q1824" s="187"/>
      <c r="R1824" s="187"/>
      <c r="S1824" s="188"/>
    </row>
    <row r="1825" spans="2:19" ht="12.75">
      <c r="B1825" s="185"/>
      <c r="C1825" s="186"/>
      <c r="D1825" s="187"/>
      <c r="E1825" s="187"/>
      <c r="F1825" s="187"/>
      <c r="G1825" s="187"/>
      <c r="H1825" s="187"/>
      <c r="I1825" s="187"/>
      <c r="J1825" s="187"/>
      <c r="K1825" s="187"/>
      <c r="L1825" s="187"/>
      <c r="M1825" s="187"/>
      <c r="N1825" s="187"/>
      <c r="O1825" s="187"/>
      <c r="P1825" s="187"/>
      <c r="Q1825" s="187"/>
      <c r="R1825" s="187"/>
      <c r="S1825" s="188"/>
    </row>
    <row r="1826" spans="2:19" ht="12.75">
      <c r="B1826" s="185"/>
      <c r="C1826" s="186"/>
      <c r="D1826" s="187"/>
      <c r="E1826" s="187"/>
      <c r="F1826" s="187"/>
      <c r="G1826" s="187"/>
      <c r="H1826" s="187"/>
      <c r="I1826" s="187"/>
      <c r="J1826" s="187"/>
      <c r="K1826" s="187"/>
      <c r="L1826" s="187"/>
      <c r="M1826" s="187"/>
      <c r="N1826" s="187"/>
      <c r="O1826" s="187"/>
      <c r="P1826" s="187"/>
      <c r="Q1826" s="187"/>
      <c r="R1826" s="187"/>
      <c r="S1826" s="188"/>
    </row>
    <row r="1827" spans="2:19" ht="12.75">
      <c r="B1827" s="185"/>
      <c r="C1827" s="186"/>
      <c r="D1827" s="187"/>
      <c r="E1827" s="187"/>
      <c r="F1827" s="187"/>
      <c r="G1827" s="187"/>
      <c r="H1827" s="187"/>
      <c r="I1827" s="187"/>
      <c r="J1827" s="187"/>
      <c r="K1827" s="187"/>
      <c r="L1827" s="187"/>
      <c r="M1827" s="187"/>
      <c r="N1827" s="187"/>
      <c r="O1827" s="187"/>
      <c r="P1827" s="187"/>
      <c r="Q1827" s="187"/>
      <c r="R1827" s="187"/>
      <c r="S1827" s="188"/>
    </row>
    <row r="1828" spans="2:19" ht="12.75">
      <c r="B1828" s="185"/>
      <c r="C1828" s="186"/>
      <c r="D1828" s="187"/>
      <c r="E1828" s="187"/>
      <c r="F1828" s="187"/>
      <c r="G1828" s="187"/>
      <c r="H1828" s="187"/>
      <c r="I1828" s="187"/>
      <c r="J1828" s="187"/>
      <c r="K1828" s="187"/>
      <c r="L1828" s="187"/>
      <c r="M1828" s="187"/>
      <c r="N1828" s="187"/>
      <c r="O1828" s="187"/>
      <c r="P1828" s="187"/>
      <c r="Q1828" s="187"/>
      <c r="R1828" s="187"/>
      <c r="S1828" s="188"/>
    </row>
    <row r="1829" spans="2:19" ht="12.75">
      <c r="B1829" s="185"/>
      <c r="C1829" s="186"/>
      <c r="D1829" s="187"/>
      <c r="E1829" s="187"/>
      <c r="F1829" s="187"/>
      <c r="G1829" s="187"/>
      <c r="H1829" s="187"/>
      <c r="I1829" s="187"/>
      <c r="J1829" s="187"/>
      <c r="K1829" s="187"/>
      <c r="L1829" s="187"/>
      <c r="M1829" s="187"/>
      <c r="N1829" s="187"/>
      <c r="O1829" s="187"/>
      <c r="P1829" s="187"/>
      <c r="Q1829" s="187"/>
      <c r="R1829" s="187"/>
      <c r="S1829" s="188"/>
    </row>
    <row r="1830" spans="2:19" ht="12.75">
      <c r="B1830" s="185"/>
      <c r="C1830" s="186"/>
      <c r="D1830" s="187"/>
      <c r="E1830" s="187"/>
      <c r="F1830" s="187"/>
      <c r="G1830" s="187"/>
      <c r="H1830" s="187"/>
      <c r="I1830" s="187"/>
      <c r="J1830" s="187"/>
      <c r="K1830" s="187"/>
      <c r="L1830" s="187"/>
      <c r="M1830" s="187"/>
      <c r="N1830" s="187"/>
      <c r="O1830" s="187"/>
      <c r="P1830" s="187"/>
      <c r="Q1830" s="187"/>
      <c r="R1830" s="187"/>
      <c r="S1830" s="188"/>
    </row>
    <row r="1831" spans="2:19" ht="12.75">
      <c r="B1831" s="185"/>
      <c r="C1831" s="186"/>
      <c r="D1831" s="187"/>
      <c r="E1831" s="187"/>
      <c r="F1831" s="187"/>
      <c r="G1831" s="187"/>
      <c r="H1831" s="187"/>
      <c r="I1831" s="187"/>
      <c r="J1831" s="187"/>
      <c r="K1831" s="187"/>
      <c r="L1831" s="187"/>
      <c r="M1831" s="187"/>
      <c r="N1831" s="187"/>
      <c r="O1831" s="187"/>
      <c r="P1831" s="187"/>
      <c r="Q1831" s="187"/>
      <c r="R1831" s="187"/>
      <c r="S1831" s="188"/>
    </row>
    <row r="1832" spans="2:19" ht="12.75">
      <c r="B1832" s="185"/>
      <c r="C1832" s="186"/>
      <c r="D1832" s="187"/>
      <c r="E1832" s="187"/>
      <c r="F1832" s="187"/>
      <c r="G1832" s="187"/>
      <c r="H1832" s="187"/>
      <c r="I1832" s="187"/>
      <c r="J1832" s="187"/>
      <c r="K1832" s="187"/>
      <c r="L1832" s="187"/>
      <c r="M1832" s="187"/>
      <c r="N1832" s="187"/>
      <c r="O1832" s="187"/>
      <c r="P1832" s="187"/>
      <c r="Q1832" s="187"/>
      <c r="R1832" s="187"/>
      <c r="S1832" s="188"/>
    </row>
    <row r="1833" spans="2:19" ht="12.75">
      <c r="B1833" s="185"/>
      <c r="C1833" s="186"/>
      <c r="D1833" s="187"/>
      <c r="E1833" s="187"/>
      <c r="F1833" s="187"/>
      <c r="G1833" s="187"/>
      <c r="H1833" s="187"/>
      <c r="I1833" s="187"/>
      <c r="J1833" s="187"/>
      <c r="K1833" s="187"/>
      <c r="L1833" s="187"/>
      <c r="M1833" s="187"/>
      <c r="N1833" s="187"/>
      <c r="O1833" s="187"/>
      <c r="P1833" s="187"/>
      <c r="Q1833" s="187"/>
      <c r="R1833" s="187"/>
      <c r="S1833" s="188"/>
    </row>
    <row r="1834" spans="2:19" ht="12.75">
      <c r="B1834" s="185"/>
      <c r="C1834" s="186"/>
      <c r="D1834" s="187"/>
      <c r="E1834" s="187"/>
      <c r="F1834" s="187"/>
      <c r="G1834" s="187"/>
      <c r="H1834" s="187"/>
      <c r="I1834" s="187"/>
      <c r="J1834" s="187"/>
      <c r="K1834" s="187"/>
      <c r="L1834" s="187"/>
      <c r="M1834" s="187"/>
      <c r="N1834" s="187"/>
      <c r="O1834" s="187"/>
      <c r="P1834" s="187"/>
      <c r="Q1834" s="187"/>
      <c r="R1834" s="187"/>
      <c r="S1834" s="188"/>
    </row>
    <row r="1835" spans="2:19" ht="12.75">
      <c r="B1835" s="185"/>
      <c r="C1835" s="186"/>
      <c r="D1835" s="187"/>
      <c r="E1835" s="187"/>
      <c r="F1835" s="187"/>
      <c r="G1835" s="187"/>
      <c r="H1835" s="187"/>
      <c r="I1835" s="187"/>
      <c r="J1835" s="187"/>
      <c r="K1835" s="187"/>
      <c r="L1835" s="187"/>
      <c r="M1835" s="187"/>
      <c r="N1835" s="187"/>
      <c r="O1835" s="187"/>
      <c r="P1835" s="187"/>
      <c r="Q1835" s="187"/>
      <c r="R1835" s="187"/>
      <c r="S1835" s="188"/>
    </row>
    <row r="1836" spans="2:19" ht="12.75">
      <c r="B1836" s="185"/>
      <c r="C1836" s="186"/>
      <c r="D1836" s="187"/>
      <c r="E1836" s="187"/>
      <c r="F1836" s="187"/>
      <c r="G1836" s="187"/>
      <c r="H1836" s="187"/>
      <c r="I1836" s="187"/>
      <c r="J1836" s="187"/>
      <c r="K1836" s="187"/>
      <c r="L1836" s="187"/>
      <c r="M1836" s="187"/>
      <c r="N1836" s="187"/>
      <c r="O1836" s="187"/>
      <c r="P1836" s="187"/>
      <c r="Q1836" s="187"/>
      <c r="R1836" s="187"/>
      <c r="S1836" s="188"/>
    </row>
    <row r="1837" spans="2:19" ht="12.75">
      <c r="B1837" s="185"/>
      <c r="C1837" s="186"/>
      <c r="D1837" s="187"/>
      <c r="E1837" s="187"/>
      <c r="F1837" s="187"/>
      <c r="G1837" s="187"/>
      <c r="H1837" s="187"/>
      <c r="I1837" s="187"/>
      <c r="J1837" s="187"/>
      <c r="K1837" s="187"/>
      <c r="L1837" s="187"/>
      <c r="M1837" s="187"/>
      <c r="N1837" s="187"/>
      <c r="O1837" s="187"/>
      <c r="P1837" s="187"/>
      <c r="Q1837" s="187"/>
      <c r="R1837" s="187"/>
      <c r="S1837" s="188"/>
    </row>
    <row r="1838" spans="2:19" ht="12.75">
      <c r="B1838" s="185"/>
      <c r="C1838" s="186"/>
      <c r="D1838" s="187"/>
      <c r="E1838" s="187"/>
      <c r="F1838" s="187"/>
      <c r="G1838" s="187"/>
      <c r="H1838" s="187"/>
      <c r="I1838" s="187"/>
      <c r="J1838" s="187"/>
      <c r="K1838" s="187"/>
      <c r="L1838" s="187"/>
      <c r="M1838" s="187"/>
      <c r="N1838" s="187"/>
      <c r="O1838" s="187"/>
      <c r="P1838" s="187"/>
      <c r="Q1838" s="187"/>
      <c r="R1838" s="187"/>
      <c r="S1838" s="188"/>
    </row>
    <row r="1839" spans="2:19" ht="12.75">
      <c r="B1839" s="185"/>
      <c r="C1839" s="186"/>
      <c r="D1839" s="187"/>
      <c r="E1839" s="187"/>
      <c r="F1839" s="187"/>
      <c r="G1839" s="187"/>
      <c r="H1839" s="187"/>
      <c r="I1839" s="187"/>
      <c r="J1839" s="187"/>
      <c r="K1839" s="187"/>
      <c r="L1839" s="187"/>
      <c r="M1839" s="187"/>
      <c r="N1839" s="187"/>
      <c r="O1839" s="187"/>
      <c r="P1839" s="187"/>
      <c r="Q1839" s="187"/>
      <c r="R1839" s="187"/>
      <c r="S1839" s="188"/>
    </row>
    <row r="1840" spans="2:19" ht="12.75">
      <c r="B1840" s="185"/>
      <c r="C1840" s="186"/>
      <c r="D1840" s="187"/>
      <c r="E1840" s="187"/>
      <c r="F1840" s="187"/>
      <c r="G1840" s="187"/>
      <c r="H1840" s="187"/>
      <c r="I1840" s="187"/>
      <c r="J1840" s="187"/>
      <c r="K1840" s="187"/>
      <c r="L1840" s="187"/>
      <c r="M1840" s="187"/>
      <c r="N1840" s="187"/>
      <c r="O1840" s="187"/>
      <c r="P1840" s="187"/>
      <c r="Q1840" s="187"/>
      <c r="R1840" s="187"/>
      <c r="S1840" s="188"/>
    </row>
    <row r="1841" spans="2:19" ht="12.75">
      <c r="B1841" s="185"/>
      <c r="C1841" s="186"/>
      <c r="D1841" s="187"/>
      <c r="E1841" s="187"/>
      <c r="F1841" s="187"/>
      <c r="G1841" s="187"/>
      <c r="H1841" s="187"/>
      <c r="I1841" s="187"/>
      <c r="J1841" s="187"/>
      <c r="K1841" s="187"/>
      <c r="L1841" s="187"/>
      <c r="M1841" s="187"/>
      <c r="N1841" s="187"/>
      <c r="O1841" s="187"/>
      <c r="P1841" s="187"/>
      <c r="Q1841" s="187"/>
      <c r="R1841" s="187"/>
      <c r="S1841" s="188"/>
    </row>
    <row r="1842" spans="2:19" ht="12.75">
      <c r="B1842" s="185"/>
      <c r="C1842" s="186"/>
      <c r="D1842" s="187"/>
      <c r="E1842" s="187"/>
      <c r="F1842" s="187"/>
      <c r="G1842" s="187"/>
      <c r="H1842" s="187"/>
      <c r="I1842" s="187"/>
      <c r="J1842" s="187"/>
      <c r="K1842" s="187"/>
      <c r="L1842" s="187"/>
      <c r="M1842" s="187"/>
      <c r="N1842" s="187"/>
      <c r="O1842" s="187"/>
      <c r="P1842" s="187"/>
      <c r="Q1842" s="187"/>
      <c r="R1842" s="187"/>
      <c r="S1842" s="188"/>
    </row>
    <row r="1843" spans="2:19" ht="12.75">
      <c r="B1843" s="185"/>
      <c r="C1843" s="186"/>
      <c r="D1843" s="187"/>
      <c r="E1843" s="187"/>
      <c r="F1843" s="187"/>
      <c r="G1843" s="187"/>
      <c r="H1843" s="187"/>
      <c r="I1843" s="187"/>
      <c r="J1843" s="187"/>
      <c r="K1843" s="187"/>
      <c r="L1843" s="187"/>
      <c r="M1843" s="187"/>
      <c r="N1843" s="187"/>
      <c r="O1843" s="187"/>
      <c r="P1843" s="187"/>
      <c r="Q1843" s="187"/>
      <c r="R1843" s="187"/>
      <c r="S1843" s="188"/>
    </row>
    <row r="1844" spans="2:19" ht="12.75">
      <c r="B1844" s="185"/>
      <c r="C1844" s="186"/>
      <c r="D1844" s="187"/>
      <c r="E1844" s="187"/>
      <c r="F1844" s="187"/>
      <c r="G1844" s="187"/>
      <c r="H1844" s="187"/>
      <c r="I1844" s="187"/>
      <c r="J1844" s="187"/>
      <c r="K1844" s="187"/>
      <c r="L1844" s="187"/>
      <c r="M1844" s="187"/>
      <c r="N1844" s="187"/>
      <c r="O1844" s="187"/>
      <c r="P1844" s="187"/>
      <c r="Q1844" s="187"/>
      <c r="R1844" s="187"/>
      <c r="S1844" s="188"/>
    </row>
    <row r="1845" spans="2:19" ht="12.75">
      <c r="B1845" s="185"/>
      <c r="C1845" s="186"/>
      <c r="D1845" s="187"/>
      <c r="E1845" s="187"/>
      <c r="F1845" s="187"/>
      <c r="G1845" s="187"/>
      <c r="H1845" s="187"/>
      <c r="I1845" s="187"/>
      <c r="J1845" s="187"/>
      <c r="K1845" s="187"/>
      <c r="L1845" s="187"/>
      <c r="M1845" s="187"/>
      <c r="N1845" s="187"/>
      <c r="O1845" s="187"/>
      <c r="P1845" s="187"/>
      <c r="Q1845" s="187"/>
      <c r="R1845" s="187"/>
      <c r="S1845" s="188"/>
    </row>
    <row r="1846" spans="2:19" ht="12.75">
      <c r="B1846" s="185"/>
      <c r="C1846" s="186"/>
      <c r="D1846" s="187"/>
      <c r="E1846" s="187"/>
      <c r="F1846" s="187"/>
      <c r="G1846" s="187"/>
      <c r="H1846" s="187"/>
      <c r="I1846" s="187"/>
      <c r="J1846" s="187"/>
      <c r="K1846" s="187"/>
      <c r="L1846" s="187"/>
      <c r="M1846" s="187"/>
      <c r="N1846" s="187"/>
      <c r="O1846" s="187"/>
      <c r="P1846" s="187"/>
      <c r="Q1846" s="187"/>
      <c r="R1846" s="187"/>
      <c r="S1846" s="188"/>
    </row>
    <row r="1847" spans="2:19" ht="12.75">
      <c r="B1847" s="185"/>
      <c r="C1847" s="186"/>
      <c r="D1847" s="187"/>
      <c r="E1847" s="187"/>
      <c r="F1847" s="187"/>
      <c r="G1847" s="187"/>
      <c r="H1847" s="187"/>
      <c r="I1847" s="187"/>
      <c r="J1847" s="187"/>
      <c r="K1847" s="187"/>
      <c r="L1847" s="187"/>
      <c r="M1847" s="187"/>
      <c r="N1847" s="187"/>
      <c r="O1847" s="187"/>
      <c r="P1847" s="187"/>
      <c r="Q1847" s="187"/>
      <c r="R1847" s="187"/>
      <c r="S1847" s="188"/>
    </row>
    <row r="1848" spans="2:19" ht="12.75">
      <c r="B1848" s="185"/>
      <c r="C1848" s="186"/>
      <c r="D1848" s="187"/>
      <c r="E1848" s="187"/>
      <c r="F1848" s="187"/>
      <c r="G1848" s="187"/>
      <c r="H1848" s="187"/>
      <c r="I1848" s="187"/>
      <c r="J1848" s="187"/>
      <c r="K1848" s="187"/>
      <c r="L1848" s="187"/>
      <c r="M1848" s="187"/>
      <c r="N1848" s="187"/>
      <c r="O1848" s="187"/>
      <c r="P1848" s="187"/>
      <c r="Q1848" s="187"/>
      <c r="R1848" s="187"/>
      <c r="S1848" s="188"/>
    </row>
    <row r="1849" spans="2:19" ht="12.75">
      <c r="B1849" s="185"/>
      <c r="C1849" s="186"/>
      <c r="D1849" s="187"/>
      <c r="E1849" s="187"/>
      <c r="F1849" s="187"/>
      <c r="G1849" s="187"/>
      <c r="H1849" s="187"/>
      <c r="I1849" s="187"/>
      <c r="J1849" s="187"/>
      <c r="K1849" s="187"/>
      <c r="L1849" s="187"/>
      <c r="M1849" s="187"/>
      <c r="N1849" s="187"/>
      <c r="O1849" s="187"/>
      <c r="P1849" s="187"/>
      <c r="Q1849" s="187"/>
      <c r="R1849" s="187"/>
      <c r="S1849" s="188"/>
    </row>
    <row r="1850" spans="2:19" ht="12.75">
      <c r="B1850" s="185"/>
      <c r="C1850" s="186"/>
      <c r="D1850" s="187"/>
      <c r="E1850" s="187"/>
      <c r="F1850" s="187"/>
      <c r="G1850" s="187"/>
      <c r="H1850" s="187"/>
      <c r="I1850" s="187"/>
      <c r="J1850" s="187"/>
      <c r="K1850" s="187"/>
      <c r="L1850" s="187"/>
      <c r="M1850" s="187"/>
      <c r="N1850" s="187"/>
      <c r="O1850" s="187"/>
      <c r="P1850" s="187"/>
      <c r="Q1850" s="187"/>
      <c r="R1850" s="187"/>
      <c r="S1850" s="188"/>
    </row>
    <row r="1851" spans="2:19" ht="12.75">
      <c r="B1851" s="185"/>
      <c r="C1851" s="186"/>
      <c r="D1851" s="187"/>
      <c r="E1851" s="187"/>
      <c r="F1851" s="187"/>
      <c r="G1851" s="187"/>
      <c r="H1851" s="187"/>
      <c r="I1851" s="187"/>
      <c r="J1851" s="187"/>
      <c r="K1851" s="187"/>
      <c r="L1851" s="187"/>
      <c r="M1851" s="187"/>
      <c r="N1851" s="187"/>
      <c r="O1851" s="187"/>
      <c r="P1851" s="187"/>
      <c r="Q1851" s="187"/>
      <c r="R1851" s="187"/>
      <c r="S1851" s="188"/>
    </row>
    <row r="1852" spans="2:19" ht="12.75">
      <c r="B1852" s="185"/>
      <c r="C1852" s="186"/>
      <c r="D1852" s="187"/>
      <c r="E1852" s="187"/>
      <c r="F1852" s="187"/>
      <c r="G1852" s="187"/>
      <c r="H1852" s="187"/>
      <c r="I1852" s="187"/>
      <c r="J1852" s="187"/>
      <c r="K1852" s="187"/>
      <c r="L1852" s="187"/>
      <c r="M1852" s="187"/>
      <c r="N1852" s="187"/>
      <c r="O1852" s="187"/>
      <c r="P1852" s="187"/>
      <c r="Q1852" s="187"/>
      <c r="R1852" s="187"/>
      <c r="S1852" s="188"/>
    </row>
    <row r="1853" spans="2:19" ht="12.75">
      <c r="B1853" s="185"/>
      <c r="C1853" s="186"/>
      <c r="D1853" s="187"/>
      <c r="E1853" s="187"/>
      <c r="F1853" s="187"/>
      <c r="G1853" s="187"/>
      <c r="H1853" s="187"/>
      <c r="I1853" s="187"/>
      <c r="J1853" s="187"/>
      <c r="K1853" s="187"/>
      <c r="L1853" s="187"/>
      <c r="M1853" s="187"/>
      <c r="N1853" s="187"/>
      <c r="O1853" s="187"/>
      <c r="P1853" s="187"/>
      <c r="Q1853" s="187"/>
      <c r="R1853" s="187"/>
      <c r="S1853" s="188"/>
    </row>
    <row r="1854" spans="2:19" ht="12.75">
      <c r="B1854" s="185"/>
      <c r="C1854" s="186"/>
      <c r="D1854" s="187"/>
      <c r="E1854" s="187"/>
      <c r="F1854" s="187"/>
      <c r="G1854" s="187"/>
      <c r="H1854" s="187"/>
      <c r="I1854" s="187"/>
      <c r="J1854" s="187"/>
      <c r="K1854" s="187"/>
      <c r="L1854" s="187"/>
      <c r="M1854" s="187"/>
      <c r="N1854" s="187"/>
      <c r="O1854" s="187"/>
      <c r="P1854" s="187"/>
      <c r="Q1854" s="187"/>
      <c r="R1854" s="187"/>
      <c r="S1854" s="188"/>
    </row>
    <row r="1855" spans="2:19" ht="12.75">
      <c r="B1855" s="185"/>
      <c r="C1855" s="186"/>
      <c r="D1855" s="187"/>
      <c r="E1855" s="187"/>
      <c r="F1855" s="187"/>
      <c r="G1855" s="187"/>
      <c r="H1855" s="187"/>
      <c r="I1855" s="187"/>
      <c r="J1855" s="187"/>
      <c r="K1855" s="187"/>
      <c r="L1855" s="187"/>
      <c r="M1855" s="187"/>
      <c r="N1855" s="187"/>
      <c r="O1855" s="187"/>
      <c r="P1855" s="187"/>
      <c r="Q1855" s="187"/>
      <c r="R1855" s="187"/>
      <c r="S1855" s="188"/>
    </row>
    <row r="1856" spans="2:19" ht="12.75">
      <c r="B1856" s="185"/>
      <c r="C1856" s="186"/>
      <c r="D1856" s="187"/>
      <c r="E1856" s="187"/>
      <c r="F1856" s="187"/>
      <c r="G1856" s="187"/>
      <c r="H1856" s="187"/>
      <c r="I1856" s="187"/>
      <c r="J1856" s="187"/>
      <c r="K1856" s="187"/>
      <c r="L1856" s="187"/>
      <c r="M1856" s="187"/>
      <c r="N1856" s="187"/>
      <c r="O1856" s="187"/>
      <c r="P1856" s="187"/>
      <c r="Q1856" s="187"/>
      <c r="R1856" s="187"/>
      <c r="S1856" s="188"/>
    </row>
    <row r="1857" spans="2:19" ht="12.75">
      <c r="B1857" s="185"/>
      <c r="C1857" s="186"/>
      <c r="D1857" s="187"/>
      <c r="E1857" s="187"/>
      <c r="F1857" s="187"/>
      <c r="G1857" s="187"/>
      <c r="H1857" s="187"/>
      <c r="I1857" s="187"/>
      <c r="J1857" s="187"/>
      <c r="K1857" s="187"/>
      <c r="L1857" s="187"/>
      <c r="M1857" s="187"/>
      <c r="N1857" s="187"/>
      <c r="O1857" s="187"/>
      <c r="P1857" s="187"/>
      <c r="Q1857" s="187"/>
      <c r="R1857" s="187"/>
      <c r="S1857" s="188"/>
    </row>
    <row r="1858" spans="2:19" ht="12.75">
      <c r="B1858" s="185"/>
      <c r="C1858" s="186"/>
      <c r="D1858" s="187"/>
      <c r="E1858" s="187"/>
      <c r="F1858" s="187"/>
      <c r="G1858" s="187"/>
      <c r="H1858" s="187"/>
      <c r="I1858" s="187"/>
      <c r="J1858" s="187"/>
      <c r="K1858" s="187"/>
      <c r="L1858" s="187"/>
      <c r="M1858" s="187"/>
      <c r="N1858" s="187"/>
      <c r="O1858" s="187"/>
      <c r="P1858" s="187"/>
      <c r="Q1858" s="187"/>
      <c r="R1858" s="187"/>
      <c r="S1858" s="188"/>
    </row>
    <row r="1859" spans="2:19" ht="12.75">
      <c r="B1859" s="185"/>
      <c r="C1859" s="186"/>
      <c r="D1859" s="187"/>
      <c r="E1859" s="187"/>
      <c r="F1859" s="187"/>
      <c r="G1859" s="187"/>
      <c r="H1859" s="187"/>
      <c r="I1859" s="187"/>
      <c r="J1859" s="187"/>
      <c r="K1859" s="187"/>
      <c r="L1859" s="187"/>
      <c r="M1859" s="187"/>
      <c r="N1859" s="187"/>
      <c r="O1859" s="187"/>
      <c r="P1859" s="187"/>
      <c r="Q1859" s="187"/>
      <c r="R1859" s="187"/>
      <c r="S1859" s="188"/>
    </row>
    <row r="1860" spans="2:19" ht="12.75">
      <c r="B1860" s="185"/>
      <c r="C1860" s="186"/>
      <c r="D1860" s="187"/>
      <c r="E1860" s="187"/>
      <c r="F1860" s="187"/>
      <c r="G1860" s="187"/>
      <c r="H1860" s="187"/>
      <c r="I1860" s="187"/>
      <c r="J1860" s="187"/>
      <c r="K1860" s="187"/>
      <c r="L1860" s="187"/>
      <c r="M1860" s="187"/>
      <c r="N1860" s="187"/>
      <c r="O1860" s="187"/>
      <c r="P1860" s="187"/>
      <c r="Q1860" s="187"/>
      <c r="R1860" s="187"/>
      <c r="S1860" s="188"/>
    </row>
    <row r="1861" spans="2:19" ht="12.75">
      <c r="B1861" s="185"/>
      <c r="C1861" s="186"/>
      <c r="D1861" s="187"/>
      <c r="E1861" s="187"/>
      <c r="F1861" s="187"/>
      <c r="G1861" s="187"/>
      <c r="H1861" s="187"/>
      <c r="I1861" s="187"/>
      <c r="J1861" s="187"/>
      <c r="K1861" s="187"/>
      <c r="L1861" s="187"/>
      <c r="M1861" s="187"/>
      <c r="N1861" s="187"/>
      <c r="O1861" s="187"/>
      <c r="P1861" s="187"/>
      <c r="Q1861" s="187"/>
      <c r="R1861" s="187"/>
      <c r="S1861" s="188"/>
    </row>
    <row r="1862" spans="2:19" ht="12.75">
      <c r="B1862" s="185"/>
      <c r="C1862" s="186"/>
      <c r="D1862" s="187"/>
      <c r="E1862" s="187"/>
      <c r="F1862" s="187"/>
      <c r="G1862" s="187"/>
      <c r="H1862" s="187"/>
      <c r="I1862" s="187"/>
      <c r="J1862" s="187"/>
      <c r="K1862" s="187"/>
      <c r="L1862" s="187"/>
      <c r="M1862" s="187"/>
      <c r="N1862" s="187"/>
      <c r="O1862" s="187"/>
      <c r="P1862" s="187"/>
      <c r="Q1862" s="187"/>
      <c r="R1862" s="187"/>
      <c r="S1862" s="188"/>
    </row>
    <row r="1863" spans="2:19" ht="12.75">
      <c r="B1863" s="185"/>
      <c r="C1863" s="186"/>
      <c r="D1863" s="187"/>
      <c r="E1863" s="187"/>
      <c r="F1863" s="187"/>
      <c r="G1863" s="187"/>
      <c r="H1863" s="187"/>
      <c r="I1863" s="187"/>
      <c r="J1863" s="187"/>
      <c r="K1863" s="187"/>
      <c r="L1863" s="187"/>
      <c r="M1863" s="187"/>
      <c r="N1863" s="187"/>
      <c r="O1863" s="187"/>
      <c r="P1863" s="187"/>
      <c r="Q1863" s="187"/>
      <c r="R1863" s="187"/>
      <c r="S1863" s="188"/>
    </row>
    <row r="1864" spans="2:19" ht="12.75">
      <c r="B1864" s="185"/>
      <c r="C1864" s="186"/>
      <c r="D1864" s="187"/>
      <c r="E1864" s="187"/>
      <c r="F1864" s="187"/>
      <c r="G1864" s="187"/>
      <c r="H1864" s="187"/>
      <c r="I1864" s="187"/>
      <c r="J1864" s="187"/>
      <c r="K1864" s="187"/>
      <c r="L1864" s="187"/>
      <c r="M1864" s="187"/>
      <c r="N1864" s="187"/>
      <c r="O1864" s="187"/>
      <c r="P1864" s="187"/>
      <c r="Q1864" s="187"/>
      <c r="R1864" s="187"/>
      <c r="S1864" s="188"/>
    </row>
    <row r="1865" spans="2:19" ht="12.75">
      <c r="B1865" s="185"/>
      <c r="C1865" s="186"/>
      <c r="D1865" s="187"/>
      <c r="E1865" s="187"/>
      <c r="F1865" s="187"/>
      <c r="G1865" s="187"/>
      <c r="H1865" s="187"/>
      <c r="I1865" s="187"/>
      <c r="J1865" s="187"/>
      <c r="K1865" s="187"/>
      <c r="L1865" s="187"/>
      <c r="M1865" s="187"/>
      <c r="N1865" s="187"/>
      <c r="O1865" s="187"/>
      <c r="P1865" s="187"/>
      <c r="Q1865" s="187"/>
      <c r="R1865" s="187"/>
      <c r="S1865" s="188"/>
    </row>
    <row r="1866" spans="2:19" ht="12.75">
      <c r="B1866" s="185"/>
      <c r="C1866" s="186"/>
      <c r="D1866" s="187"/>
      <c r="E1866" s="187"/>
      <c r="F1866" s="187"/>
      <c r="G1866" s="187"/>
      <c r="H1866" s="187"/>
      <c r="I1866" s="187"/>
      <c r="J1866" s="187"/>
      <c r="K1866" s="187"/>
      <c r="L1866" s="187"/>
      <c r="M1866" s="187"/>
      <c r="N1866" s="187"/>
      <c r="O1866" s="187"/>
      <c r="P1866" s="187"/>
      <c r="Q1866" s="187"/>
      <c r="R1866" s="187"/>
      <c r="S1866" s="188"/>
    </row>
    <row r="1867" spans="2:19" ht="12.75">
      <c r="B1867" s="185"/>
      <c r="C1867" s="186"/>
      <c r="D1867" s="187"/>
      <c r="E1867" s="187"/>
      <c r="F1867" s="187"/>
      <c r="G1867" s="187"/>
      <c r="H1867" s="187"/>
      <c r="I1867" s="187"/>
      <c r="J1867" s="187"/>
      <c r="K1867" s="187"/>
      <c r="L1867" s="187"/>
      <c r="M1867" s="187"/>
      <c r="N1867" s="187"/>
      <c r="O1867" s="187"/>
      <c r="P1867" s="187"/>
      <c r="Q1867" s="187"/>
      <c r="R1867" s="187"/>
      <c r="S1867" s="188"/>
    </row>
    <row r="1868" spans="2:19" ht="12.75">
      <c r="B1868" s="185"/>
      <c r="C1868" s="186"/>
      <c r="D1868" s="187"/>
      <c r="E1868" s="187"/>
      <c r="F1868" s="187"/>
      <c r="G1868" s="187"/>
      <c r="H1868" s="187"/>
      <c r="I1868" s="187"/>
      <c r="J1868" s="187"/>
      <c r="K1868" s="187"/>
      <c r="L1868" s="187"/>
      <c r="M1868" s="187"/>
      <c r="N1868" s="187"/>
      <c r="O1868" s="187"/>
      <c r="P1868" s="187"/>
      <c r="Q1868" s="187"/>
      <c r="R1868" s="187"/>
      <c r="S1868" s="188"/>
    </row>
    <row r="1869" spans="2:19" ht="12.75">
      <c r="B1869" s="185"/>
      <c r="C1869" s="186"/>
      <c r="D1869" s="187"/>
      <c r="E1869" s="187"/>
      <c r="F1869" s="187"/>
      <c r="G1869" s="187"/>
      <c r="H1869" s="187"/>
      <c r="I1869" s="187"/>
      <c r="J1869" s="187"/>
      <c r="K1869" s="187"/>
      <c r="L1869" s="187"/>
      <c r="M1869" s="187"/>
      <c r="N1869" s="187"/>
      <c r="O1869" s="187"/>
      <c r="P1869" s="187"/>
      <c r="Q1869" s="187"/>
      <c r="R1869" s="187"/>
      <c r="S1869" s="188"/>
    </row>
    <row r="1870" spans="2:19" ht="12.75">
      <c r="B1870" s="185"/>
      <c r="C1870" s="186"/>
      <c r="D1870" s="187"/>
      <c r="E1870" s="187"/>
      <c r="F1870" s="187"/>
      <c r="G1870" s="187"/>
      <c r="H1870" s="187"/>
      <c r="I1870" s="187"/>
      <c r="J1870" s="187"/>
      <c r="K1870" s="187"/>
      <c r="L1870" s="187"/>
      <c r="M1870" s="187"/>
      <c r="N1870" s="187"/>
      <c r="O1870" s="187"/>
      <c r="P1870" s="187"/>
      <c r="Q1870" s="187"/>
      <c r="R1870" s="187"/>
      <c r="S1870" s="188"/>
    </row>
    <row r="1871" spans="2:19" ht="12.75">
      <c r="B1871" s="185"/>
      <c r="C1871" s="186"/>
      <c r="D1871" s="187"/>
      <c r="E1871" s="187"/>
      <c r="F1871" s="187"/>
      <c r="G1871" s="187"/>
      <c r="H1871" s="187"/>
      <c r="I1871" s="187"/>
      <c r="J1871" s="187"/>
      <c r="K1871" s="187"/>
      <c r="L1871" s="187"/>
      <c r="M1871" s="187"/>
      <c r="N1871" s="187"/>
      <c r="O1871" s="187"/>
      <c r="P1871" s="187"/>
      <c r="Q1871" s="187"/>
      <c r="R1871" s="187"/>
      <c r="S1871" s="188"/>
    </row>
    <row r="1872" spans="2:19" ht="12.75">
      <c r="B1872" s="185"/>
      <c r="C1872" s="186"/>
      <c r="D1872" s="187"/>
      <c r="E1872" s="187"/>
      <c r="F1872" s="187"/>
      <c r="G1872" s="187"/>
      <c r="H1872" s="187"/>
      <c r="I1872" s="187"/>
      <c r="J1872" s="187"/>
      <c r="K1872" s="187"/>
      <c r="L1872" s="187"/>
      <c r="M1872" s="187"/>
      <c r="N1872" s="187"/>
      <c r="O1872" s="187"/>
      <c r="P1872" s="187"/>
      <c r="Q1872" s="187"/>
      <c r="R1872" s="187"/>
      <c r="S1872" s="188"/>
    </row>
    <row r="1873" spans="2:19" ht="12.75">
      <c r="B1873" s="185"/>
      <c r="C1873" s="186"/>
      <c r="D1873" s="187"/>
      <c r="E1873" s="187"/>
      <c r="F1873" s="187"/>
      <c r="G1873" s="187"/>
      <c r="H1873" s="187"/>
      <c r="I1873" s="187"/>
      <c r="J1873" s="187"/>
      <c r="K1873" s="187"/>
      <c r="L1873" s="187"/>
      <c r="M1873" s="187"/>
      <c r="N1873" s="187"/>
      <c r="O1873" s="187"/>
      <c r="P1873" s="187"/>
      <c r="Q1873" s="187"/>
      <c r="R1873" s="187"/>
      <c r="S1873" s="188"/>
    </row>
    <row r="1874" spans="2:19" ht="12.75">
      <c r="B1874" s="185"/>
      <c r="C1874" s="186"/>
      <c r="D1874" s="187"/>
      <c r="E1874" s="187"/>
      <c r="F1874" s="187"/>
      <c r="G1874" s="187"/>
      <c r="H1874" s="187"/>
      <c r="I1874" s="187"/>
      <c r="J1874" s="187"/>
      <c r="K1874" s="187"/>
      <c r="L1874" s="187"/>
      <c r="M1874" s="187"/>
      <c r="N1874" s="187"/>
      <c r="O1874" s="187"/>
      <c r="P1874" s="187"/>
      <c r="Q1874" s="187"/>
      <c r="R1874" s="187"/>
      <c r="S1874" s="188"/>
    </row>
    <row r="1875" spans="2:19" ht="12.75">
      <c r="B1875" s="185"/>
      <c r="C1875" s="186"/>
      <c r="D1875" s="187"/>
      <c r="E1875" s="187"/>
      <c r="F1875" s="187"/>
      <c r="G1875" s="187"/>
      <c r="H1875" s="187"/>
      <c r="I1875" s="187"/>
      <c r="J1875" s="187"/>
      <c r="K1875" s="187"/>
      <c r="L1875" s="187"/>
      <c r="M1875" s="187"/>
      <c r="N1875" s="187"/>
      <c r="O1875" s="187"/>
      <c r="P1875" s="187"/>
      <c r="Q1875" s="187"/>
      <c r="R1875" s="187"/>
      <c r="S1875" s="188"/>
    </row>
    <row r="1876" spans="2:19" ht="12.75">
      <c r="B1876" s="185"/>
      <c r="C1876" s="186"/>
      <c r="D1876" s="187"/>
      <c r="E1876" s="187"/>
      <c r="F1876" s="187"/>
      <c r="G1876" s="187"/>
      <c r="H1876" s="187"/>
      <c r="I1876" s="187"/>
      <c r="J1876" s="187"/>
      <c r="K1876" s="187"/>
      <c r="L1876" s="187"/>
      <c r="M1876" s="187"/>
      <c r="N1876" s="187"/>
      <c r="O1876" s="187"/>
      <c r="P1876" s="187"/>
      <c r="Q1876" s="187"/>
      <c r="R1876" s="187"/>
      <c r="S1876" s="188"/>
    </row>
    <row r="1877" spans="2:19" ht="12.75">
      <c r="B1877" s="185"/>
      <c r="C1877" s="186"/>
      <c r="D1877" s="187"/>
      <c r="E1877" s="187"/>
      <c r="F1877" s="187"/>
      <c r="G1877" s="187"/>
      <c r="H1877" s="187"/>
      <c r="I1877" s="187"/>
      <c r="J1877" s="187"/>
      <c r="K1877" s="187"/>
      <c r="L1877" s="187"/>
      <c r="M1877" s="187"/>
      <c r="N1877" s="187"/>
      <c r="O1877" s="187"/>
      <c r="P1877" s="187"/>
      <c r="Q1877" s="187"/>
      <c r="R1877" s="187"/>
      <c r="S1877" s="188"/>
    </row>
    <row r="1878" spans="2:19" ht="12.75">
      <c r="B1878" s="185"/>
      <c r="C1878" s="186"/>
      <c r="D1878" s="187"/>
      <c r="E1878" s="187"/>
      <c r="F1878" s="187"/>
      <c r="G1878" s="187"/>
      <c r="H1878" s="187"/>
      <c r="I1878" s="187"/>
      <c r="J1878" s="187"/>
      <c r="K1878" s="187"/>
      <c r="L1878" s="187"/>
      <c r="M1878" s="187"/>
      <c r="N1878" s="187"/>
      <c r="O1878" s="187"/>
      <c r="P1878" s="187"/>
      <c r="Q1878" s="187"/>
      <c r="R1878" s="187"/>
      <c r="S1878" s="188"/>
    </row>
    <row r="1879" spans="2:19" ht="12.75">
      <c r="B1879" s="185"/>
      <c r="C1879" s="186"/>
      <c r="D1879" s="187"/>
      <c r="E1879" s="187"/>
      <c r="F1879" s="187"/>
      <c r="G1879" s="187"/>
      <c r="H1879" s="187"/>
      <c r="I1879" s="187"/>
      <c r="J1879" s="187"/>
      <c r="K1879" s="187"/>
      <c r="L1879" s="187"/>
      <c r="M1879" s="187"/>
      <c r="N1879" s="187"/>
      <c r="O1879" s="187"/>
      <c r="P1879" s="187"/>
      <c r="Q1879" s="187"/>
      <c r="R1879" s="187"/>
      <c r="S1879" s="188"/>
    </row>
    <row r="1880" spans="2:19" ht="12.75">
      <c r="B1880" s="185"/>
      <c r="C1880" s="186"/>
      <c r="D1880" s="187"/>
      <c r="E1880" s="187"/>
      <c r="F1880" s="187"/>
      <c r="G1880" s="187"/>
      <c r="H1880" s="187"/>
      <c r="I1880" s="187"/>
      <c r="J1880" s="187"/>
      <c r="K1880" s="187"/>
      <c r="L1880" s="187"/>
      <c r="M1880" s="187"/>
      <c r="N1880" s="187"/>
      <c r="O1880" s="187"/>
      <c r="P1880" s="187"/>
      <c r="Q1880" s="187"/>
      <c r="R1880" s="187"/>
      <c r="S1880" s="188"/>
    </row>
    <row r="1881" spans="2:19" ht="12.75">
      <c r="B1881" s="185"/>
      <c r="C1881" s="186"/>
      <c r="D1881" s="187"/>
      <c r="E1881" s="187"/>
      <c r="F1881" s="187"/>
      <c r="G1881" s="187"/>
      <c r="H1881" s="187"/>
      <c r="I1881" s="187"/>
      <c r="J1881" s="187"/>
      <c r="K1881" s="187"/>
      <c r="L1881" s="187"/>
      <c r="M1881" s="187"/>
      <c r="N1881" s="187"/>
      <c r="O1881" s="187"/>
      <c r="P1881" s="187"/>
      <c r="Q1881" s="187"/>
      <c r="R1881" s="187"/>
      <c r="S1881" s="188"/>
    </row>
    <row r="1882" spans="2:19" ht="12.75">
      <c r="B1882" s="185"/>
      <c r="C1882" s="186"/>
      <c r="D1882" s="187"/>
      <c r="E1882" s="187"/>
      <c r="F1882" s="187"/>
      <c r="G1882" s="187"/>
      <c r="H1882" s="187"/>
      <c r="I1882" s="187"/>
      <c r="J1882" s="187"/>
      <c r="K1882" s="187"/>
      <c r="L1882" s="187"/>
      <c r="M1882" s="187"/>
      <c r="N1882" s="187"/>
      <c r="O1882" s="187"/>
      <c r="P1882" s="187"/>
      <c r="Q1882" s="187"/>
      <c r="R1882" s="187"/>
      <c r="S1882" s="188"/>
    </row>
    <row r="1883" spans="2:19" ht="12.75">
      <c r="B1883" s="185"/>
      <c r="C1883" s="186"/>
      <c r="D1883" s="187"/>
      <c r="E1883" s="187"/>
      <c r="F1883" s="187"/>
      <c r="G1883" s="187"/>
      <c r="H1883" s="187"/>
      <c r="I1883" s="187"/>
      <c r="J1883" s="187"/>
      <c r="K1883" s="187"/>
      <c r="L1883" s="187"/>
      <c r="M1883" s="187"/>
      <c r="N1883" s="187"/>
      <c r="O1883" s="187"/>
      <c r="P1883" s="187"/>
      <c r="Q1883" s="187"/>
      <c r="R1883" s="187"/>
      <c r="S1883" s="188"/>
    </row>
    <row r="1884" spans="2:19" ht="12.75">
      <c r="B1884" s="185"/>
      <c r="C1884" s="186"/>
      <c r="D1884" s="187"/>
      <c r="E1884" s="187"/>
      <c r="F1884" s="187"/>
      <c r="G1884" s="187"/>
      <c r="H1884" s="187"/>
      <c r="I1884" s="187"/>
      <c r="J1884" s="187"/>
      <c r="K1884" s="187"/>
      <c r="L1884" s="187"/>
      <c r="M1884" s="187"/>
      <c r="N1884" s="187"/>
      <c r="O1884" s="187"/>
      <c r="P1884" s="187"/>
      <c r="Q1884" s="187"/>
      <c r="R1884" s="187"/>
      <c r="S1884" s="188"/>
    </row>
    <row r="1885" spans="2:19" ht="12.75">
      <c r="B1885" s="185"/>
      <c r="C1885" s="186"/>
      <c r="D1885" s="187"/>
      <c r="E1885" s="187"/>
      <c r="F1885" s="187"/>
      <c r="G1885" s="187"/>
      <c r="H1885" s="187"/>
      <c r="I1885" s="187"/>
      <c r="J1885" s="187"/>
      <c r="K1885" s="187"/>
      <c r="L1885" s="187"/>
      <c r="M1885" s="187"/>
      <c r="N1885" s="187"/>
      <c r="O1885" s="187"/>
      <c r="P1885" s="187"/>
      <c r="Q1885" s="187"/>
      <c r="R1885" s="187"/>
      <c r="S1885" s="188"/>
    </row>
    <row r="1886" spans="2:19" ht="12.75">
      <c r="B1886" s="185"/>
      <c r="C1886" s="186"/>
      <c r="D1886" s="187"/>
      <c r="E1886" s="187"/>
      <c r="F1886" s="187"/>
      <c r="G1886" s="187"/>
      <c r="H1886" s="187"/>
      <c r="I1886" s="187"/>
      <c r="J1886" s="187"/>
      <c r="K1886" s="187"/>
      <c r="L1886" s="187"/>
      <c r="M1886" s="187"/>
      <c r="N1886" s="187"/>
      <c r="O1886" s="187"/>
      <c r="P1886" s="187"/>
      <c r="Q1886" s="187"/>
      <c r="R1886" s="187"/>
      <c r="S1886" s="188"/>
    </row>
    <row r="1887" spans="2:19" ht="12.75">
      <c r="B1887" s="185"/>
      <c r="C1887" s="186"/>
      <c r="D1887" s="187"/>
      <c r="E1887" s="187"/>
      <c r="F1887" s="187"/>
      <c r="G1887" s="187"/>
      <c r="H1887" s="187"/>
      <c r="I1887" s="187"/>
      <c r="J1887" s="187"/>
      <c r="K1887" s="187"/>
      <c r="L1887" s="187"/>
      <c r="M1887" s="187"/>
      <c r="N1887" s="187"/>
      <c r="O1887" s="187"/>
      <c r="P1887" s="187"/>
      <c r="Q1887" s="187"/>
      <c r="R1887" s="187"/>
      <c r="S1887" s="188"/>
    </row>
    <row r="1888" spans="2:19" ht="12.75">
      <c r="B1888" s="185"/>
      <c r="C1888" s="186"/>
      <c r="D1888" s="187"/>
      <c r="E1888" s="187"/>
      <c r="F1888" s="187"/>
      <c r="G1888" s="187"/>
      <c r="H1888" s="187"/>
      <c r="I1888" s="187"/>
      <c r="J1888" s="187"/>
      <c r="K1888" s="187"/>
      <c r="L1888" s="187"/>
      <c r="M1888" s="187"/>
      <c r="N1888" s="187"/>
      <c r="O1888" s="187"/>
      <c r="P1888" s="187"/>
      <c r="Q1888" s="187"/>
      <c r="R1888" s="187"/>
      <c r="S1888" s="188"/>
    </row>
    <row r="1889" spans="2:19" ht="12.75">
      <c r="B1889" s="185"/>
      <c r="C1889" s="186"/>
      <c r="D1889" s="187"/>
      <c r="E1889" s="187"/>
      <c r="F1889" s="187"/>
      <c r="G1889" s="187"/>
      <c r="H1889" s="187"/>
      <c r="I1889" s="187"/>
      <c r="J1889" s="187"/>
      <c r="K1889" s="187"/>
      <c r="L1889" s="187"/>
      <c r="M1889" s="187"/>
      <c r="N1889" s="187"/>
      <c r="O1889" s="187"/>
      <c r="P1889" s="187"/>
      <c r="Q1889" s="187"/>
      <c r="R1889" s="187"/>
      <c r="S1889" s="188"/>
    </row>
    <row r="1890" spans="2:19" ht="12.75">
      <c r="B1890" s="185"/>
      <c r="C1890" s="186"/>
      <c r="D1890" s="187"/>
      <c r="E1890" s="187"/>
      <c r="F1890" s="187"/>
      <c r="G1890" s="187"/>
      <c r="H1890" s="187"/>
      <c r="I1890" s="187"/>
      <c r="J1890" s="187"/>
      <c r="K1890" s="187"/>
      <c r="L1890" s="187"/>
      <c r="M1890" s="187"/>
      <c r="N1890" s="187"/>
      <c r="O1890" s="187"/>
      <c r="P1890" s="187"/>
      <c r="Q1890" s="187"/>
      <c r="R1890" s="187"/>
      <c r="S1890" s="188"/>
    </row>
    <row r="1891" spans="2:19" ht="12.75">
      <c r="B1891" s="185"/>
      <c r="C1891" s="186"/>
      <c r="D1891" s="187"/>
      <c r="E1891" s="187"/>
      <c r="F1891" s="187"/>
      <c r="G1891" s="187"/>
      <c r="H1891" s="187"/>
      <c r="I1891" s="187"/>
      <c r="J1891" s="187"/>
      <c r="K1891" s="187"/>
      <c r="L1891" s="187"/>
      <c r="M1891" s="187"/>
      <c r="N1891" s="187"/>
      <c r="O1891" s="187"/>
      <c r="P1891" s="187"/>
      <c r="Q1891" s="187"/>
      <c r="R1891" s="187"/>
      <c r="S1891" s="188"/>
    </row>
    <row r="1892" spans="2:19" ht="12.75">
      <c r="B1892" s="185"/>
      <c r="C1892" s="186"/>
      <c r="D1892" s="187"/>
      <c r="E1892" s="187"/>
      <c r="F1892" s="187"/>
      <c r="G1892" s="187"/>
      <c r="H1892" s="187"/>
      <c r="I1892" s="187"/>
      <c r="J1892" s="187"/>
      <c r="K1892" s="187"/>
      <c r="L1892" s="187"/>
      <c r="M1892" s="187"/>
      <c r="N1892" s="187"/>
      <c r="O1892" s="187"/>
      <c r="P1892" s="187"/>
      <c r="Q1892" s="187"/>
      <c r="R1892" s="187"/>
      <c r="S1892" s="188"/>
    </row>
    <row r="1893" spans="2:19" ht="12.75">
      <c r="B1893" s="185"/>
      <c r="C1893" s="186"/>
      <c r="D1893" s="187"/>
      <c r="E1893" s="187"/>
      <c r="F1893" s="187"/>
      <c r="G1893" s="187"/>
      <c r="H1893" s="187"/>
      <c r="I1893" s="187"/>
      <c r="J1893" s="187"/>
      <c r="K1893" s="187"/>
      <c r="L1893" s="187"/>
      <c r="M1893" s="187"/>
      <c r="N1893" s="187"/>
      <c r="O1893" s="187"/>
      <c r="P1893" s="187"/>
      <c r="Q1893" s="187"/>
      <c r="R1893" s="187"/>
      <c r="S1893" s="188"/>
    </row>
    <row r="1894" spans="2:19" ht="12.75">
      <c r="B1894" s="185"/>
      <c r="C1894" s="186"/>
      <c r="D1894" s="187"/>
      <c r="E1894" s="187"/>
      <c r="F1894" s="187"/>
      <c r="G1894" s="187"/>
      <c r="H1894" s="187"/>
      <c r="I1894" s="187"/>
      <c r="J1894" s="187"/>
      <c r="K1894" s="187"/>
      <c r="L1894" s="187"/>
      <c r="M1894" s="187"/>
      <c r="N1894" s="187"/>
      <c r="O1894" s="187"/>
      <c r="P1894" s="187"/>
      <c r="Q1894" s="187"/>
      <c r="R1894" s="187"/>
      <c r="S1894" s="188"/>
    </row>
    <row r="1895" spans="2:19" ht="12.75">
      <c r="B1895" s="185"/>
      <c r="C1895" s="186"/>
      <c r="D1895" s="187"/>
      <c r="E1895" s="187"/>
      <c r="F1895" s="187"/>
      <c r="G1895" s="187"/>
      <c r="H1895" s="187"/>
      <c r="I1895" s="187"/>
      <c r="J1895" s="187"/>
      <c r="K1895" s="187"/>
      <c r="L1895" s="187"/>
      <c r="M1895" s="187"/>
      <c r="N1895" s="187"/>
      <c r="O1895" s="187"/>
      <c r="P1895" s="187"/>
      <c r="Q1895" s="187"/>
      <c r="R1895" s="187"/>
      <c r="S1895" s="188"/>
    </row>
    <row r="1896" spans="2:19" ht="12.75">
      <c r="B1896" s="185"/>
      <c r="C1896" s="186"/>
      <c r="D1896" s="187"/>
      <c r="E1896" s="187"/>
      <c r="F1896" s="187"/>
      <c r="G1896" s="187"/>
      <c r="H1896" s="187"/>
      <c r="I1896" s="187"/>
      <c r="J1896" s="187"/>
      <c r="K1896" s="187"/>
      <c r="L1896" s="187"/>
      <c r="M1896" s="187"/>
      <c r="N1896" s="187"/>
      <c r="O1896" s="187"/>
      <c r="P1896" s="187"/>
      <c r="Q1896" s="187"/>
      <c r="R1896" s="187"/>
      <c r="S1896" s="188"/>
    </row>
    <row r="1897" spans="2:19" ht="12.75">
      <c r="B1897" s="185"/>
      <c r="C1897" s="186"/>
      <c r="D1897" s="187"/>
      <c r="E1897" s="187"/>
      <c r="F1897" s="187"/>
      <c r="G1897" s="187"/>
      <c r="H1897" s="187"/>
      <c r="I1897" s="187"/>
      <c r="J1897" s="187"/>
      <c r="K1897" s="187"/>
      <c r="L1897" s="187"/>
      <c r="M1897" s="187"/>
      <c r="N1897" s="187"/>
      <c r="O1897" s="187"/>
      <c r="P1897" s="187"/>
      <c r="Q1897" s="187"/>
      <c r="R1897" s="187"/>
      <c r="S1897" s="188"/>
    </row>
    <row r="1898" spans="2:19" ht="12.75">
      <c r="B1898" s="185"/>
      <c r="C1898" s="186"/>
      <c r="D1898" s="187"/>
      <c r="E1898" s="187"/>
      <c r="F1898" s="187"/>
      <c r="G1898" s="187"/>
      <c r="H1898" s="187"/>
      <c r="I1898" s="187"/>
      <c r="J1898" s="187"/>
      <c r="K1898" s="187"/>
      <c r="L1898" s="187"/>
      <c r="M1898" s="187"/>
      <c r="N1898" s="187"/>
      <c r="O1898" s="187"/>
      <c r="P1898" s="187"/>
      <c r="Q1898" s="187"/>
      <c r="R1898" s="187"/>
      <c r="S1898" s="188"/>
    </row>
    <row r="1899" spans="2:19" ht="12.75">
      <c r="B1899" s="185"/>
      <c r="C1899" s="186"/>
      <c r="D1899" s="187"/>
      <c r="E1899" s="187"/>
      <c r="F1899" s="187"/>
      <c r="G1899" s="187"/>
      <c r="H1899" s="187"/>
      <c r="I1899" s="187"/>
      <c r="J1899" s="187"/>
      <c r="K1899" s="187"/>
      <c r="L1899" s="187"/>
      <c r="M1899" s="187"/>
      <c r="N1899" s="187"/>
      <c r="O1899" s="187"/>
      <c r="P1899" s="187"/>
      <c r="Q1899" s="187"/>
      <c r="R1899" s="187"/>
      <c r="S1899" s="188"/>
    </row>
    <row r="1900" spans="2:19" ht="12.75">
      <c r="B1900" s="185"/>
      <c r="C1900" s="186"/>
      <c r="D1900" s="187"/>
      <c r="E1900" s="187"/>
      <c r="F1900" s="187"/>
      <c r="G1900" s="187"/>
      <c r="H1900" s="187"/>
      <c r="I1900" s="187"/>
      <c r="J1900" s="187"/>
      <c r="K1900" s="187"/>
      <c r="L1900" s="187"/>
      <c r="M1900" s="187"/>
      <c r="N1900" s="187"/>
      <c r="O1900" s="187"/>
      <c r="P1900" s="187"/>
      <c r="Q1900" s="187"/>
      <c r="R1900" s="187"/>
      <c r="S1900" s="188"/>
    </row>
    <row r="1901" spans="2:19" ht="12.75">
      <c r="B1901" s="185"/>
      <c r="C1901" s="186"/>
      <c r="D1901" s="187"/>
      <c r="E1901" s="187"/>
      <c r="F1901" s="187"/>
      <c r="G1901" s="187"/>
      <c r="H1901" s="187"/>
      <c r="I1901" s="187"/>
      <c r="J1901" s="187"/>
      <c r="K1901" s="187"/>
      <c r="L1901" s="187"/>
      <c r="M1901" s="187"/>
      <c r="N1901" s="187"/>
      <c r="O1901" s="187"/>
      <c r="P1901" s="187"/>
      <c r="Q1901" s="187"/>
      <c r="R1901" s="187"/>
      <c r="S1901" s="188"/>
    </row>
    <row r="1902" spans="2:19" ht="12.75">
      <c r="B1902" s="185"/>
      <c r="C1902" s="186"/>
      <c r="D1902" s="187"/>
      <c r="E1902" s="187"/>
      <c r="F1902" s="187"/>
      <c r="G1902" s="187"/>
      <c r="H1902" s="187"/>
      <c r="I1902" s="187"/>
      <c r="J1902" s="187"/>
      <c r="K1902" s="187"/>
      <c r="L1902" s="187"/>
      <c r="M1902" s="187"/>
      <c r="N1902" s="187"/>
      <c r="O1902" s="187"/>
      <c r="P1902" s="187"/>
      <c r="Q1902" s="187"/>
      <c r="R1902" s="187"/>
      <c r="S1902" s="188"/>
    </row>
    <row r="1903" spans="2:19" ht="12.75">
      <c r="B1903" s="185"/>
      <c r="C1903" s="186"/>
      <c r="D1903" s="187"/>
      <c r="E1903" s="187"/>
      <c r="F1903" s="187"/>
      <c r="G1903" s="187"/>
      <c r="H1903" s="187"/>
      <c r="I1903" s="187"/>
      <c r="J1903" s="187"/>
      <c r="K1903" s="187"/>
      <c r="L1903" s="187"/>
      <c r="M1903" s="187"/>
      <c r="N1903" s="187"/>
      <c r="O1903" s="187"/>
      <c r="P1903" s="187"/>
      <c r="Q1903" s="187"/>
      <c r="R1903" s="187"/>
      <c r="S1903" s="188"/>
    </row>
    <row r="1904" spans="2:19" ht="12.75">
      <c r="B1904" s="185"/>
      <c r="C1904" s="186"/>
      <c r="D1904" s="187"/>
      <c r="E1904" s="187"/>
      <c r="F1904" s="187"/>
      <c r="G1904" s="187"/>
      <c r="H1904" s="187"/>
      <c r="I1904" s="187"/>
      <c r="J1904" s="187"/>
      <c r="K1904" s="187"/>
      <c r="L1904" s="187"/>
      <c r="M1904" s="187"/>
      <c r="N1904" s="187"/>
      <c r="O1904" s="187"/>
      <c r="P1904" s="187"/>
      <c r="Q1904" s="187"/>
      <c r="R1904" s="187"/>
      <c r="S1904" s="188"/>
    </row>
    <row r="1905" spans="2:19" ht="12.75">
      <c r="B1905" s="185"/>
      <c r="C1905" s="186"/>
      <c r="D1905" s="187"/>
      <c r="E1905" s="187"/>
      <c r="F1905" s="187"/>
      <c r="G1905" s="187"/>
      <c r="H1905" s="187"/>
      <c r="I1905" s="187"/>
      <c r="J1905" s="187"/>
      <c r="K1905" s="187"/>
      <c r="L1905" s="187"/>
      <c r="M1905" s="187"/>
      <c r="N1905" s="187"/>
      <c r="O1905" s="187"/>
      <c r="P1905" s="187"/>
      <c r="Q1905" s="187"/>
      <c r="R1905" s="187"/>
      <c r="S1905" s="188"/>
    </row>
    <row r="1906" spans="2:19" ht="12.75">
      <c r="B1906" s="185"/>
      <c r="C1906" s="186"/>
      <c r="D1906" s="187"/>
      <c r="E1906" s="187"/>
      <c r="F1906" s="187"/>
      <c r="G1906" s="187"/>
      <c r="H1906" s="187"/>
      <c r="I1906" s="187"/>
      <c r="J1906" s="187"/>
      <c r="K1906" s="187"/>
      <c r="L1906" s="187"/>
      <c r="M1906" s="187"/>
      <c r="N1906" s="187"/>
      <c r="O1906" s="187"/>
      <c r="P1906" s="187"/>
      <c r="Q1906" s="187"/>
      <c r="R1906" s="187"/>
      <c r="S1906" s="188"/>
    </row>
    <row r="1907" spans="2:19" ht="12.75">
      <c r="B1907" s="185"/>
      <c r="C1907" s="186"/>
      <c r="D1907" s="187"/>
      <c r="E1907" s="187"/>
      <c r="F1907" s="187"/>
      <c r="G1907" s="187"/>
      <c r="H1907" s="187"/>
      <c r="I1907" s="187"/>
      <c r="J1907" s="187"/>
      <c r="K1907" s="187"/>
      <c r="L1907" s="187"/>
      <c r="M1907" s="187"/>
      <c r="N1907" s="187"/>
      <c r="O1907" s="187"/>
      <c r="P1907" s="187"/>
      <c r="Q1907" s="187"/>
      <c r="R1907" s="187"/>
      <c r="S1907" s="188"/>
    </row>
    <row r="1908" spans="2:19" ht="12.75">
      <c r="B1908" s="185"/>
      <c r="C1908" s="186"/>
      <c r="D1908" s="187"/>
      <c r="E1908" s="187"/>
      <c r="F1908" s="187"/>
      <c r="G1908" s="187"/>
      <c r="H1908" s="187"/>
      <c r="I1908" s="187"/>
      <c r="J1908" s="187"/>
      <c r="K1908" s="187"/>
      <c r="L1908" s="187"/>
      <c r="M1908" s="187"/>
      <c r="N1908" s="187"/>
      <c r="O1908" s="187"/>
      <c r="P1908" s="187"/>
      <c r="Q1908" s="187"/>
      <c r="R1908" s="187"/>
      <c r="S1908" s="188"/>
    </row>
    <row r="1909" spans="2:19" ht="12.75">
      <c r="B1909" s="185"/>
      <c r="C1909" s="186"/>
      <c r="D1909" s="187"/>
      <c r="E1909" s="187"/>
      <c r="F1909" s="187"/>
      <c r="G1909" s="187"/>
      <c r="H1909" s="187"/>
      <c r="I1909" s="187"/>
      <c r="J1909" s="187"/>
      <c r="K1909" s="187"/>
      <c r="L1909" s="187"/>
      <c r="M1909" s="187"/>
      <c r="N1909" s="187"/>
      <c r="O1909" s="187"/>
      <c r="P1909" s="187"/>
      <c r="Q1909" s="187"/>
      <c r="R1909" s="187"/>
      <c r="S1909" s="188"/>
    </row>
    <row r="1910" spans="2:19" ht="12.75">
      <c r="B1910" s="185"/>
      <c r="C1910" s="186"/>
      <c r="D1910" s="187"/>
      <c r="E1910" s="187"/>
      <c r="F1910" s="187"/>
      <c r="G1910" s="187"/>
      <c r="H1910" s="187"/>
      <c r="I1910" s="187"/>
      <c r="J1910" s="187"/>
      <c r="K1910" s="187"/>
      <c r="L1910" s="187"/>
      <c r="M1910" s="187"/>
      <c r="N1910" s="187"/>
      <c r="O1910" s="187"/>
      <c r="P1910" s="187"/>
      <c r="Q1910" s="187"/>
      <c r="R1910" s="187"/>
      <c r="S1910" s="188"/>
    </row>
    <row r="1911" spans="2:19" ht="12.75">
      <c r="B1911" s="185"/>
      <c r="C1911" s="186"/>
      <c r="D1911" s="187"/>
      <c r="E1911" s="187"/>
      <c r="F1911" s="187"/>
      <c r="G1911" s="187"/>
      <c r="H1911" s="187"/>
      <c r="I1911" s="187"/>
      <c r="J1911" s="187"/>
      <c r="K1911" s="187"/>
      <c r="L1911" s="187"/>
      <c r="M1911" s="187"/>
      <c r="N1911" s="187"/>
      <c r="O1911" s="187"/>
      <c r="P1911" s="187"/>
      <c r="Q1911" s="187"/>
      <c r="R1911" s="187"/>
      <c r="S1911" s="188"/>
    </row>
    <row r="1912" spans="2:19" ht="12.75">
      <c r="B1912" s="185"/>
      <c r="C1912" s="186"/>
      <c r="D1912" s="187"/>
      <c r="E1912" s="187"/>
      <c r="F1912" s="187"/>
      <c r="G1912" s="187"/>
      <c r="H1912" s="187"/>
      <c r="I1912" s="187"/>
      <c r="J1912" s="187"/>
      <c r="K1912" s="187"/>
      <c r="L1912" s="187"/>
      <c r="M1912" s="187"/>
      <c r="N1912" s="187"/>
      <c r="O1912" s="187"/>
      <c r="P1912" s="187"/>
      <c r="Q1912" s="187"/>
      <c r="R1912" s="187"/>
      <c r="S1912" s="188"/>
    </row>
    <row r="1913" spans="2:19" ht="12.75">
      <c r="B1913" s="185"/>
      <c r="C1913" s="186"/>
      <c r="D1913" s="187"/>
      <c r="E1913" s="187"/>
      <c r="F1913" s="187"/>
      <c r="G1913" s="187"/>
      <c r="H1913" s="187"/>
      <c r="I1913" s="187"/>
      <c r="J1913" s="187"/>
      <c r="K1913" s="187"/>
      <c r="L1913" s="187"/>
      <c r="M1913" s="187"/>
      <c r="N1913" s="187"/>
      <c r="O1913" s="187"/>
      <c r="P1913" s="187"/>
      <c r="Q1913" s="187"/>
      <c r="R1913" s="187"/>
      <c r="S1913" s="188"/>
    </row>
    <row r="1914" spans="2:19" ht="12.75">
      <c r="B1914" s="185"/>
      <c r="C1914" s="186"/>
      <c r="D1914" s="187"/>
      <c r="E1914" s="187"/>
      <c r="F1914" s="187"/>
      <c r="G1914" s="187"/>
      <c r="H1914" s="187"/>
      <c r="I1914" s="187"/>
      <c r="J1914" s="187"/>
      <c r="K1914" s="187"/>
      <c r="L1914" s="187"/>
      <c r="M1914" s="187"/>
      <c r="N1914" s="187"/>
      <c r="O1914" s="187"/>
      <c r="P1914" s="187"/>
      <c r="Q1914" s="187"/>
      <c r="R1914" s="187"/>
      <c r="S1914" s="188"/>
    </row>
    <row r="1915" spans="2:19" ht="12.75">
      <c r="B1915" s="185"/>
      <c r="C1915" s="186"/>
      <c r="D1915" s="187"/>
      <c r="E1915" s="187"/>
      <c r="F1915" s="187"/>
      <c r="G1915" s="187"/>
      <c r="H1915" s="187"/>
      <c r="I1915" s="187"/>
      <c r="J1915" s="187"/>
      <c r="K1915" s="187"/>
      <c r="L1915" s="187"/>
      <c r="M1915" s="187"/>
      <c r="N1915" s="187"/>
      <c r="O1915" s="187"/>
      <c r="P1915" s="187"/>
      <c r="Q1915" s="187"/>
      <c r="R1915" s="187"/>
      <c r="S1915" s="188"/>
    </row>
    <row r="1916" spans="2:19" ht="12.75">
      <c r="B1916" s="185"/>
      <c r="C1916" s="186"/>
      <c r="D1916" s="187"/>
      <c r="E1916" s="187"/>
      <c r="F1916" s="187"/>
      <c r="G1916" s="187"/>
      <c r="H1916" s="187"/>
      <c r="I1916" s="187"/>
      <c r="J1916" s="187"/>
      <c r="K1916" s="187"/>
      <c r="L1916" s="187"/>
      <c r="M1916" s="187"/>
      <c r="N1916" s="187"/>
      <c r="O1916" s="187"/>
      <c r="P1916" s="187"/>
      <c r="Q1916" s="187"/>
      <c r="R1916" s="187"/>
      <c r="S1916" s="188"/>
    </row>
    <row r="1917" spans="2:19" ht="12.75">
      <c r="B1917" s="185"/>
      <c r="C1917" s="186"/>
      <c r="D1917" s="187"/>
      <c r="E1917" s="187"/>
      <c r="F1917" s="187"/>
      <c r="G1917" s="187"/>
      <c r="H1917" s="187"/>
      <c r="I1917" s="187"/>
      <c r="J1917" s="187"/>
      <c r="K1917" s="187"/>
      <c r="L1917" s="187"/>
      <c r="M1917" s="187"/>
      <c r="N1917" s="187"/>
      <c r="O1917" s="187"/>
      <c r="P1917" s="187"/>
      <c r="Q1917" s="187"/>
      <c r="R1917" s="187"/>
      <c r="S1917" s="188"/>
    </row>
    <row r="1918" spans="2:19" ht="12.75">
      <c r="B1918" s="185"/>
      <c r="C1918" s="186"/>
      <c r="D1918" s="187"/>
      <c r="E1918" s="187"/>
      <c r="F1918" s="187"/>
      <c r="G1918" s="187"/>
      <c r="H1918" s="187"/>
      <c r="I1918" s="187"/>
      <c r="J1918" s="187"/>
      <c r="K1918" s="187"/>
      <c r="L1918" s="187"/>
      <c r="M1918" s="187"/>
      <c r="N1918" s="187"/>
      <c r="O1918" s="187"/>
      <c r="P1918" s="187"/>
      <c r="Q1918" s="187"/>
      <c r="R1918" s="187"/>
      <c r="S1918" s="188"/>
    </row>
    <row r="1919" spans="2:19" ht="12.75">
      <c r="B1919" s="185"/>
      <c r="C1919" s="186"/>
      <c r="D1919" s="187"/>
      <c r="E1919" s="187"/>
      <c r="F1919" s="187"/>
      <c r="G1919" s="187"/>
      <c r="H1919" s="187"/>
      <c r="I1919" s="187"/>
      <c r="J1919" s="187"/>
      <c r="K1919" s="187"/>
      <c r="L1919" s="187"/>
      <c r="M1919" s="187"/>
      <c r="N1919" s="187"/>
      <c r="O1919" s="187"/>
      <c r="P1919" s="187"/>
      <c r="Q1919" s="187"/>
      <c r="R1919" s="187"/>
      <c r="S1919" s="188"/>
    </row>
    <row r="1920" spans="2:19" ht="12.75">
      <c r="B1920" s="185"/>
      <c r="C1920" s="186"/>
      <c r="D1920" s="187"/>
      <c r="E1920" s="187"/>
      <c r="F1920" s="187"/>
      <c r="G1920" s="187"/>
      <c r="H1920" s="187"/>
      <c r="I1920" s="187"/>
      <c r="J1920" s="187"/>
      <c r="K1920" s="187"/>
      <c r="L1920" s="187"/>
      <c r="M1920" s="187"/>
      <c r="N1920" s="187"/>
      <c r="O1920" s="187"/>
      <c r="P1920" s="187"/>
      <c r="Q1920" s="187"/>
      <c r="R1920" s="187"/>
      <c r="S1920" s="188"/>
    </row>
    <row r="1921" spans="2:19" ht="12.75">
      <c r="B1921" s="185"/>
      <c r="C1921" s="186"/>
      <c r="D1921" s="187"/>
      <c r="E1921" s="187"/>
      <c r="F1921" s="187"/>
      <c r="G1921" s="187"/>
      <c r="H1921" s="187"/>
      <c r="I1921" s="187"/>
      <c r="J1921" s="187"/>
      <c r="K1921" s="187"/>
      <c r="L1921" s="187"/>
      <c r="M1921" s="187"/>
      <c r="N1921" s="187"/>
      <c r="O1921" s="187"/>
      <c r="P1921" s="187"/>
      <c r="Q1921" s="187"/>
      <c r="R1921" s="187"/>
      <c r="S1921" s="188"/>
    </row>
    <row r="1922" spans="2:19" ht="12.75">
      <c r="B1922" s="185"/>
      <c r="C1922" s="186"/>
      <c r="D1922" s="187"/>
      <c r="E1922" s="187"/>
      <c r="F1922" s="187"/>
      <c r="G1922" s="187"/>
      <c r="H1922" s="187"/>
      <c r="I1922" s="187"/>
      <c r="J1922" s="187"/>
      <c r="K1922" s="187"/>
      <c r="L1922" s="187"/>
      <c r="M1922" s="187"/>
      <c r="N1922" s="187"/>
      <c r="O1922" s="187"/>
      <c r="P1922" s="187"/>
      <c r="Q1922" s="187"/>
      <c r="R1922" s="187"/>
      <c r="S1922" s="188"/>
    </row>
    <row r="1923" spans="2:19" ht="12.75">
      <c r="B1923" s="185"/>
      <c r="C1923" s="186"/>
      <c r="D1923" s="187"/>
      <c r="E1923" s="187"/>
      <c r="F1923" s="187"/>
      <c r="G1923" s="187"/>
      <c r="H1923" s="187"/>
      <c r="I1923" s="187"/>
      <c r="J1923" s="187"/>
      <c r="K1923" s="187"/>
      <c r="L1923" s="187"/>
      <c r="M1923" s="187"/>
      <c r="N1923" s="187"/>
      <c r="O1923" s="187"/>
      <c r="P1923" s="187"/>
      <c r="Q1923" s="187"/>
      <c r="R1923" s="187"/>
      <c r="S1923" s="188"/>
    </row>
    <row r="1924" spans="2:19" ht="12.75">
      <c r="B1924" s="185"/>
      <c r="C1924" s="186"/>
      <c r="D1924" s="187"/>
      <c r="E1924" s="187"/>
      <c r="F1924" s="187"/>
      <c r="G1924" s="187"/>
      <c r="H1924" s="187"/>
      <c r="I1924" s="187"/>
      <c r="J1924" s="187"/>
      <c r="K1924" s="187"/>
      <c r="L1924" s="187"/>
      <c r="M1924" s="187"/>
      <c r="N1924" s="187"/>
      <c r="O1924" s="187"/>
      <c r="P1924" s="187"/>
      <c r="Q1924" s="187"/>
      <c r="R1924" s="187"/>
      <c r="S1924" s="188"/>
    </row>
    <row r="1925" spans="2:19" ht="12.75">
      <c r="B1925" s="185"/>
      <c r="C1925" s="186"/>
      <c r="D1925" s="187"/>
      <c r="E1925" s="187"/>
      <c r="F1925" s="187"/>
      <c r="G1925" s="187"/>
      <c r="H1925" s="187"/>
      <c r="I1925" s="187"/>
      <c r="J1925" s="187"/>
      <c r="K1925" s="187"/>
      <c r="L1925" s="187"/>
      <c r="M1925" s="187"/>
      <c r="N1925" s="187"/>
      <c r="O1925" s="187"/>
      <c r="P1925" s="187"/>
      <c r="Q1925" s="187"/>
      <c r="R1925" s="187"/>
      <c r="S1925" s="188"/>
    </row>
    <row r="1926" spans="2:19" ht="12.75">
      <c r="B1926" s="185"/>
      <c r="C1926" s="186"/>
      <c r="D1926" s="187"/>
      <c r="E1926" s="187"/>
      <c r="F1926" s="187"/>
      <c r="G1926" s="187"/>
      <c r="H1926" s="187"/>
      <c r="I1926" s="187"/>
      <c r="J1926" s="187"/>
      <c r="K1926" s="187"/>
      <c r="L1926" s="187"/>
      <c r="M1926" s="187"/>
      <c r="N1926" s="187"/>
      <c r="O1926" s="187"/>
      <c r="P1926" s="187"/>
      <c r="Q1926" s="187"/>
      <c r="R1926" s="187"/>
      <c r="S1926" s="188"/>
    </row>
    <row r="1927" spans="2:19" ht="12.75">
      <c r="B1927" s="185"/>
      <c r="C1927" s="186"/>
      <c r="D1927" s="187"/>
      <c r="E1927" s="187"/>
      <c r="F1927" s="187"/>
      <c r="G1927" s="187"/>
      <c r="H1927" s="187"/>
      <c r="I1927" s="187"/>
      <c r="J1927" s="187"/>
      <c r="K1927" s="187"/>
      <c r="L1927" s="187"/>
      <c r="M1927" s="187"/>
      <c r="N1927" s="187"/>
      <c r="O1927" s="187"/>
      <c r="P1927" s="187"/>
      <c r="Q1927" s="187"/>
      <c r="R1927" s="187"/>
      <c r="S1927" s="188"/>
    </row>
    <row r="1928" spans="2:19" ht="12.75">
      <c r="B1928" s="185"/>
      <c r="C1928" s="186"/>
      <c r="D1928" s="187"/>
      <c r="E1928" s="187"/>
      <c r="F1928" s="187"/>
      <c r="G1928" s="187"/>
      <c r="H1928" s="187"/>
      <c r="I1928" s="187"/>
      <c r="J1928" s="187"/>
      <c r="K1928" s="187"/>
      <c r="L1928" s="187"/>
      <c r="M1928" s="187"/>
      <c r="N1928" s="187"/>
      <c r="O1928" s="187"/>
      <c r="P1928" s="187"/>
      <c r="Q1928" s="187"/>
      <c r="R1928" s="187"/>
      <c r="S1928" s="188"/>
    </row>
    <row r="1929" spans="2:19" ht="12.75">
      <c r="B1929" s="185"/>
      <c r="C1929" s="186"/>
      <c r="D1929" s="187"/>
      <c r="E1929" s="187"/>
      <c r="F1929" s="187"/>
      <c r="G1929" s="187"/>
      <c r="H1929" s="187"/>
      <c r="I1929" s="187"/>
      <c r="J1929" s="187"/>
      <c r="K1929" s="187"/>
      <c r="L1929" s="187"/>
      <c r="M1929" s="187"/>
      <c r="N1929" s="187"/>
      <c r="O1929" s="187"/>
      <c r="P1929" s="187"/>
      <c r="Q1929" s="187"/>
      <c r="R1929" s="187"/>
      <c r="S1929" s="188"/>
    </row>
    <row r="1930" spans="2:19" ht="12.75">
      <c r="B1930" s="185"/>
      <c r="C1930" s="186"/>
      <c r="D1930" s="187"/>
      <c r="E1930" s="187"/>
      <c r="F1930" s="187"/>
      <c r="G1930" s="187"/>
      <c r="H1930" s="187"/>
      <c r="I1930" s="187"/>
      <c r="J1930" s="187"/>
      <c r="K1930" s="187"/>
      <c r="L1930" s="187"/>
      <c r="M1930" s="187"/>
      <c r="N1930" s="187"/>
      <c r="O1930" s="187"/>
      <c r="P1930" s="187"/>
      <c r="Q1930" s="187"/>
      <c r="R1930" s="187"/>
      <c r="S1930" s="188"/>
    </row>
    <row r="1931" spans="2:19" ht="12.75">
      <c r="B1931" s="185"/>
      <c r="C1931" s="186"/>
      <c r="D1931" s="187"/>
      <c r="E1931" s="187"/>
      <c r="F1931" s="187"/>
      <c r="G1931" s="187"/>
      <c r="H1931" s="187"/>
      <c r="I1931" s="187"/>
      <c r="J1931" s="187"/>
      <c r="K1931" s="187"/>
      <c r="L1931" s="187"/>
      <c r="M1931" s="187"/>
      <c r="N1931" s="187"/>
      <c r="O1931" s="187"/>
      <c r="P1931" s="187"/>
      <c r="Q1931" s="187"/>
      <c r="R1931" s="187"/>
      <c r="S1931" s="188"/>
    </row>
    <row r="1932" spans="2:19" ht="12.75">
      <c r="B1932" s="185"/>
      <c r="C1932" s="186"/>
      <c r="D1932" s="187"/>
      <c r="E1932" s="187"/>
      <c r="F1932" s="187"/>
      <c r="G1932" s="187"/>
      <c r="H1932" s="187"/>
      <c r="I1932" s="187"/>
      <c r="J1932" s="187"/>
      <c r="K1932" s="187"/>
      <c r="L1932" s="187"/>
      <c r="M1932" s="187"/>
      <c r="N1932" s="187"/>
      <c r="O1932" s="187"/>
      <c r="P1932" s="187"/>
      <c r="Q1932" s="187"/>
      <c r="R1932" s="187"/>
      <c r="S1932" s="188"/>
    </row>
    <row r="1933" spans="2:19" ht="12.75">
      <c r="B1933" s="185"/>
      <c r="C1933" s="186"/>
      <c r="D1933" s="187"/>
      <c r="E1933" s="187"/>
      <c r="F1933" s="187"/>
      <c r="G1933" s="187"/>
      <c r="H1933" s="187"/>
      <c r="I1933" s="187"/>
      <c r="J1933" s="187"/>
      <c r="K1933" s="187"/>
      <c r="L1933" s="187"/>
      <c r="M1933" s="187"/>
      <c r="N1933" s="187"/>
      <c r="O1933" s="187"/>
      <c r="P1933" s="187"/>
      <c r="Q1933" s="187"/>
      <c r="R1933" s="187"/>
      <c r="S1933" s="188"/>
    </row>
    <row r="1934" spans="2:19" ht="12.75">
      <c r="B1934" s="185"/>
      <c r="C1934" s="186"/>
      <c r="D1934" s="187"/>
      <c r="E1934" s="187"/>
      <c r="F1934" s="187"/>
      <c r="G1934" s="187"/>
      <c r="H1934" s="187"/>
      <c r="I1934" s="187"/>
      <c r="J1934" s="187"/>
      <c r="K1934" s="187"/>
      <c r="L1934" s="187"/>
      <c r="M1934" s="187"/>
      <c r="N1934" s="187"/>
      <c r="O1934" s="187"/>
      <c r="P1934" s="187"/>
      <c r="Q1934" s="187"/>
      <c r="R1934" s="187"/>
      <c r="S1934" s="188"/>
    </row>
    <row r="1935" spans="2:19" ht="12.75">
      <c r="B1935" s="185"/>
      <c r="C1935" s="186"/>
      <c r="D1935" s="187"/>
      <c r="E1935" s="187"/>
      <c r="F1935" s="187"/>
      <c r="G1935" s="187"/>
      <c r="H1935" s="187"/>
      <c r="I1935" s="187"/>
      <c r="J1935" s="187"/>
      <c r="K1935" s="187"/>
      <c r="L1935" s="187"/>
      <c r="M1935" s="187"/>
      <c r="N1935" s="187"/>
      <c r="O1935" s="187"/>
      <c r="P1935" s="187"/>
      <c r="Q1935" s="187"/>
      <c r="R1935" s="187"/>
      <c r="S1935" s="188"/>
    </row>
    <row r="1936" spans="2:19" ht="12.75">
      <c r="B1936" s="185"/>
      <c r="C1936" s="186"/>
      <c r="D1936" s="187"/>
      <c r="E1936" s="187"/>
      <c r="F1936" s="187"/>
      <c r="G1936" s="187"/>
      <c r="H1936" s="187"/>
      <c r="I1936" s="187"/>
      <c r="J1936" s="187"/>
      <c r="K1936" s="187"/>
      <c r="L1936" s="187"/>
      <c r="M1936" s="187"/>
      <c r="N1936" s="187"/>
      <c r="O1936" s="187"/>
      <c r="P1936" s="187"/>
      <c r="Q1936" s="187"/>
      <c r="R1936" s="187"/>
      <c r="S1936" s="188"/>
    </row>
    <row r="1937" spans="2:19" ht="12.75">
      <c r="B1937" s="185"/>
      <c r="C1937" s="186"/>
      <c r="D1937" s="187"/>
      <c r="E1937" s="187"/>
      <c r="F1937" s="187"/>
      <c r="G1937" s="187"/>
      <c r="H1937" s="187"/>
      <c r="I1937" s="187"/>
      <c r="J1937" s="187"/>
      <c r="K1937" s="187"/>
      <c r="L1937" s="187"/>
      <c r="M1937" s="187"/>
      <c r="N1937" s="187"/>
      <c r="O1937" s="187"/>
      <c r="P1937" s="187"/>
      <c r="Q1937" s="187"/>
      <c r="R1937" s="187"/>
      <c r="S1937" s="188"/>
    </row>
    <row r="1938" spans="2:19" ht="12.75">
      <c r="B1938" s="185"/>
      <c r="C1938" s="186"/>
      <c r="D1938" s="187"/>
      <c r="E1938" s="187"/>
      <c r="F1938" s="187"/>
      <c r="G1938" s="187"/>
      <c r="H1938" s="187"/>
      <c r="I1938" s="187"/>
      <c r="J1938" s="187"/>
      <c r="K1938" s="187"/>
      <c r="L1938" s="187"/>
      <c r="M1938" s="187"/>
      <c r="N1938" s="187"/>
      <c r="O1938" s="187"/>
      <c r="P1938" s="187"/>
      <c r="Q1938" s="187"/>
      <c r="R1938" s="187"/>
      <c r="S1938" s="188"/>
    </row>
    <row r="1939" spans="2:19" ht="12.75">
      <c r="B1939" s="185"/>
      <c r="C1939" s="186"/>
      <c r="D1939" s="187"/>
      <c r="E1939" s="187"/>
      <c r="F1939" s="187"/>
      <c r="G1939" s="187"/>
      <c r="H1939" s="187"/>
      <c r="I1939" s="187"/>
      <c r="J1939" s="187"/>
      <c r="K1939" s="187"/>
      <c r="L1939" s="187"/>
      <c r="M1939" s="187"/>
      <c r="N1939" s="187"/>
      <c r="O1939" s="187"/>
      <c r="P1939" s="187"/>
      <c r="Q1939" s="187"/>
      <c r="R1939" s="187"/>
      <c r="S1939" s="188"/>
    </row>
    <row r="1940" spans="2:19" ht="12.75">
      <c r="B1940" s="185"/>
      <c r="C1940" s="186"/>
      <c r="D1940" s="187"/>
      <c r="E1940" s="187"/>
      <c r="F1940" s="187"/>
      <c r="G1940" s="187"/>
      <c r="H1940" s="187"/>
      <c r="I1940" s="187"/>
      <c r="J1940" s="187"/>
      <c r="K1940" s="187"/>
      <c r="L1940" s="187"/>
      <c r="M1940" s="187"/>
      <c r="N1940" s="187"/>
      <c r="O1940" s="187"/>
      <c r="P1940" s="187"/>
      <c r="Q1940" s="187"/>
      <c r="R1940" s="187"/>
      <c r="S1940" s="188"/>
    </row>
    <row r="1941" spans="2:19" ht="12.75">
      <c r="B1941" s="185"/>
      <c r="C1941" s="186"/>
      <c r="D1941" s="187"/>
      <c r="E1941" s="187"/>
      <c r="F1941" s="187"/>
      <c r="G1941" s="187"/>
      <c r="H1941" s="187"/>
      <c r="I1941" s="187"/>
      <c r="J1941" s="187"/>
      <c r="K1941" s="187"/>
      <c r="L1941" s="187"/>
      <c r="M1941" s="187"/>
      <c r="N1941" s="187"/>
      <c r="O1941" s="187"/>
      <c r="P1941" s="187"/>
      <c r="Q1941" s="187"/>
      <c r="R1941" s="187"/>
      <c r="S1941" s="188"/>
    </row>
    <row r="1942" spans="2:19" ht="12.75">
      <c r="B1942" s="185"/>
      <c r="C1942" s="186"/>
      <c r="D1942" s="187"/>
      <c r="E1942" s="187"/>
      <c r="F1942" s="187"/>
      <c r="G1942" s="187"/>
      <c r="H1942" s="187"/>
      <c r="I1942" s="187"/>
      <c r="J1942" s="187"/>
      <c r="K1942" s="187"/>
      <c r="L1942" s="187"/>
      <c r="M1942" s="187"/>
      <c r="N1942" s="187"/>
      <c r="O1942" s="187"/>
      <c r="P1942" s="187"/>
      <c r="Q1942" s="187"/>
      <c r="R1942" s="187"/>
      <c r="S1942" s="188"/>
    </row>
    <row r="1943" spans="2:19" ht="12.75">
      <c r="B1943" s="185"/>
      <c r="C1943" s="186"/>
      <c r="D1943" s="187"/>
      <c r="E1943" s="187"/>
      <c r="F1943" s="187"/>
      <c r="G1943" s="187"/>
      <c r="H1943" s="187"/>
      <c r="I1943" s="187"/>
      <c r="J1943" s="187"/>
      <c r="K1943" s="187"/>
      <c r="L1943" s="187"/>
      <c r="M1943" s="187"/>
      <c r="N1943" s="187"/>
      <c r="O1943" s="187"/>
      <c r="P1943" s="187"/>
      <c r="Q1943" s="187"/>
      <c r="R1943" s="187"/>
      <c r="S1943" s="188"/>
    </row>
    <row r="1944" spans="2:19" ht="12.75">
      <c r="B1944" s="185"/>
      <c r="C1944" s="186"/>
      <c r="D1944" s="187"/>
      <c r="E1944" s="187"/>
      <c r="F1944" s="187"/>
      <c r="G1944" s="187"/>
      <c r="H1944" s="187"/>
      <c r="I1944" s="187"/>
      <c r="J1944" s="187"/>
      <c r="K1944" s="187"/>
      <c r="L1944" s="187"/>
      <c r="M1944" s="187"/>
      <c r="N1944" s="187"/>
      <c r="O1944" s="187"/>
      <c r="P1944" s="187"/>
      <c r="Q1944" s="187"/>
      <c r="R1944" s="187"/>
      <c r="S1944" s="188"/>
    </row>
    <row r="1945" spans="2:19" ht="12.75">
      <c r="B1945" s="185"/>
      <c r="C1945" s="186"/>
      <c r="D1945" s="187"/>
      <c r="E1945" s="187"/>
      <c r="F1945" s="187"/>
      <c r="G1945" s="187"/>
      <c r="H1945" s="187"/>
      <c r="I1945" s="187"/>
      <c r="J1945" s="187"/>
      <c r="K1945" s="187"/>
      <c r="L1945" s="187"/>
      <c r="M1945" s="187"/>
      <c r="N1945" s="187"/>
      <c r="O1945" s="187"/>
      <c r="P1945" s="187"/>
      <c r="Q1945" s="187"/>
      <c r="R1945" s="187"/>
      <c r="S1945" s="188"/>
    </row>
    <row r="1946" spans="2:19" ht="12.75">
      <c r="B1946" s="185"/>
      <c r="C1946" s="186"/>
      <c r="D1946" s="187"/>
      <c r="E1946" s="187"/>
      <c r="F1946" s="187"/>
      <c r="G1946" s="187"/>
      <c r="H1946" s="187"/>
      <c r="I1946" s="187"/>
      <c r="J1946" s="187"/>
      <c r="K1946" s="187"/>
      <c r="L1946" s="187"/>
      <c r="M1946" s="187"/>
      <c r="N1946" s="187"/>
      <c r="O1946" s="187"/>
      <c r="P1946" s="187"/>
      <c r="Q1946" s="187"/>
      <c r="R1946" s="187"/>
      <c r="S1946" s="188"/>
    </row>
    <row r="1947" spans="2:19" ht="12.75">
      <c r="B1947" s="185"/>
      <c r="C1947" s="186"/>
      <c r="D1947" s="187"/>
      <c r="E1947" s="187"/>
      <c r="F1947" s="187"/>
      <c r="G1947" s="187"/>
      <c r="H1947" s="187"/>
      <c r="I1947" s="187"/>
      <c r="J1947" s="187"/>
      <c r="K1947" s="187"/>
      <c r="L1947" s="187"/>
      <c r="M1947" s="187"/>
      <c r="N1947" s="187"/>
      <c r="O1947" s="187"/>
      <c r="P1947" s="187"/>
      <c r="Q1947" s="187"/>
      <c r="R1947" s="187"/>
      <c r="S1947" s="188"/>
    </row>
    <row r="1948" spans="2:19" ht="12.75">
      <c r="B1948" s="185"/>
      <c r="C1948" s="186"/>
      <c r="D1948" s="187"/>
      <c r="E1948" s="187"/>
      <c r="F1948" s="187"/>
      <c r="G1948" s="187"/>
      <c r="H1948" s="187"/>
      <c r="I1948" s="187"/>
      <c r="J1948" s="187"/>
      <c r="K1948" s="187"/>
      <c r="L1948" s="187"/>
      <c r="M1948" s="187"/>
      <c r="N1948" s="187"/>
      <c r="O1948" s="187"/>
      <c r="P1948" s="187"/>
      <c r="Q1948" s="187"/>
      <c r="R1948" s="187"/>
      <c r="S1948" s="188"/>
    </row>
    <row r="1949" spans="2:19" ht="12.75">
      <c r="B1949" s="185"/>
      <c r="C1949" s="186"/>
      <c r="D1949" s="187"/>
      <c r="E1949" s="187"/>
      <c r="F1949" s="187"/>
      <c r="G1949" s="187"/>
      <c r="H1949" s="187"/>
      <c r="I1949" s="187"/>
      <c r="J1949" s="187"/>
      <c r="K1949" s="187"/>
      <c r="L1949" s="187"/>
      <c r="M1949" s="187"/>
      <c r="N1949" s="187"/>
      <c r="O1949" s="187"/>
      <c r="P1949" s="187"/>
      <c r="Q1949" s="187"/>
      <c r="R1949" s="187"/>
      <c r="S1949" s="188"/>
    </row>
    <row r="1950" spans="2:19" ht="12.75">
      <c r="B1950" s="185"/>
      <c r="C1950" s="186"/>
      <c r="D1950" s="187"/>
      <c r="E1950" s="187"/>
      <c r="F1950" s="187"/>
      <c r="G1950" s="187"/>
      <c r="H1950" s="187"/>
      <c r="I1950" s="187"/>
      <c r="J1950" s="187"/>
      <c r="K1950" s="187"/>
      <c r="L1950" s="187"/>
      <c r="M1950" s="187"/>
      <c r="N1950" s="187"/>
      <c r="O1950" s="187"/>
      <c r="P1950" s="187"/>
      <c r="Q1950" s="187"/>
      <c r="R1950" s="187"/>
      <c r="S1950" s="188"/>
    </row>
    <row r="1951" spans="2:19" ht="12.75">
      <c r="B1951" s="185"/>
      <c r="C1951" s="186"/>
      <c r="D1951" s="187"/>
      <c r="E1951" s="187"/>
      <c r="F1951" s="187"/>
      <c r="G1951" s="187"/>
      <c r="H1951" s="187"/>
      <c r="I1951" s="187"/>
      <c r="J1951" s="187"/>
      <c r="K1951" s="187"/>
      <c r="L1951" s="187"/>
      <c r="M1951" s="187"/>
      <c r="N1951" s="187"/>
      <c r="O1951" s="187"/>
      <c r="P1951" s="187"/>
      <c r="Q1951" s="187"/>
      <c r="R1951" s="187"/>
      <c r="S1951" s="188"/>
    </row>
    <row r="1952" spans="2:19" ht="12.75">
      <c r="B1952" s="185"/>
      <c r="C1952" s="186"/>
      <c r="D1952" s="187"/>
      <c r="E1952" s="187"/>
      <c r="F1952" s="187"/>
      <c r="G1952" s="187"/>
      <c r="H1952" s="187"/>
      <c r="I1952" s="187"/>
      <c r="J1952" s="187"/>
      <c r="K1952" s="187"/>
      <c r="L1952" s="187"/>
      <c r="M1952" s="187"/>
      <c r="N1952" s="187"/>
      <c r="O1952" s="187"/>
      <c r="P1952" s="187"/>
      <c r="Q1952" s="187"/>
      <c r="R1952" s="187"/>
      <c r="S1952" s="188"/>
    </row>
    <row r="1953" spans="2:19" ht="12.75">
      <c r="B1953" s="185"/>
      <c r="C1953" s="186"/>
      <c r="D1953" s="187"/>
      <c r="E1953" s="187"/>
      <c r="F1953" s="187"/>
      <c r="G1953" s="187"/>
      <c r="H1953" s="187"/>
      <c r="I1953" s="187"/>
      <c r="J1953" s="187"/>
      <c r="K1953" s="187"/>
      <c r="L1953" s="187"/>
      <c r="M1953" s="187"/>
      <c r="N1953" s="187"/>
      <c r="O1953" s="187"/>
      <c r="P1953" s="187"/>
      <c r="Q1953" s="187"/>
      <c r="R1953" s="187"/>
      <c r="S1953" s="188"/>
    </row>
    <row r="1954" spans="2:19" ht="12.75">
      <c r="B1954" s="185"/>
      <c r="C1954" s="186"/>
      <c r="D1954" s="187"/>
      <c r="E1954" s="187"/>
      <c r="F1954" s="187"/>
      <c r="G1954" s="187"/>
      <c r="H1954" s="187"/>
      <c r="I1954" s="187"/>
      <c r="J1954" s="187"/>
      <c r="K1954" s="187"/>
      <c r="L1954" s="187"/>
      <c r="M1954" s="187"/>
      <c r="N1954" s="187"/>
      <c r="O1954" s="187"/>
      <c r="P1954" s="187"/>
      <c r="Q1954" s="187"/>
      <c r="R1954" s="187"/>
      <c r="S1954" s="188"/>
    </row>
    <row r="1955" spans="2:19" ht="12.75">
      <c r="B1955" s="185"/>
      <c r="C1955" s="186"/>
      <c r="D1955" s="187"/>
      <c r="E1955" s="187"/>
      <c r="F1955" s="187"/>
      <c r="G1955" s="187"/>
      <c r="H1955" s="187"/>
      <c r="I1955" s="187"/>
      <c r="J1955" s="187"/>
      <c r="K1955" s="187"/>
      <c r="L1955" s="187"/>
      <c r="M1955" s="187"/>
      <c r="N1955" s="187"/>
      <c r="O1955" s="187"/>
      <c r="P1955" s="187"/>
      <c r="Q1955" s="187"/>
      <c r="R1955" s="187"/>
      <c r="S1955" s="188"/>
    </row>
    <row r="1956" spans="2:19" ht="12.75">
      <c r="B1956" s="185"/>
      <c r="C1956" s="186"/>
      <c r="D1956" s="187"/>
      <c r="E1956" s="187"/>
      <c r="F1956" s="187"/>
      <c r="G1956" s="187"/>
      <c r="H1956" s="187"/>
      <c r="I1956" s="187"/>
      <c r="J1956" s="187"/>
      <c r="K1956" s="187"/>
      <c r="L1956" s="187"/>
      <c r="M1956" s="187"/>
      <c r="N1956" s="187"/>
      <c r="O1956" s="187"/>
      <c r="P1956" s="187"/>
      <c r="Q1956" s="187"/>
      <c r="R1956" s="187"/>
      <c r="S1956" s="188"/>
    </row>
    <row r="1957" spans="2:19" ht="12.75">
      <c r="B1957" s="185"/>
      <c r="C1957" s="186"/>
      <c r="D1957" s="187"/>
      <c r="E1957" s="187"/>
      <c r="F1957" s="187"/>
      <c r="G1957" s="187"/>
      <c r="H1957" s="187"/>
      <c r="I1957" s="187"/>
      <c r="J1957" s="187"/>
      <c r="K1957" s="187"/>
      <c r="L1957" s="187"/>
      <c r="M1957" s="187"/>
      <c r="N1957" s="187"/>
      <c r="O1957" s="187"/>
      <c r="P1957" s="187"/>
      <c r="Q1957" s="187"/>
      <c r="R1957" s="187"/>
      <c r="S1957" s="188"/>
    </row>
    <row r="1958" spans="2:19" ht="12.75">
      <c r="B1958" s="185"/>
      <c r="C1958" s="186"/>
      <c r="D1958" s="187"/>
      <c r="E1958" s="187"/>
      <c r="F1958" s="187"/>
      <c r="G1958" s="187"/>
      <c r="H1958" s="187"/>
      <c r="I1958" s="187"/>
      <c r="J1958" s="187"/>
      <c r="K1958" s="187"/>
      <c r="L1958" s="187"/>
      <c r="M1958" s="187"/>
      <c r="N1958" s="187"/>
      <c r="O1958" s="187"/>
      <c r="P1958" s="187"/>
      <c r="Q1958" s="187"/>
      <c r="R1958" s="187"/>
      <c r="S1958" s="188"/>
    </row>
    <row r="1959" spans="2:19" ht="12.75">
      <c r="B1959" s="185"/>
      <c r="C1959" s="186"/>
      <c r="D1959" s="187"/>
      <c r="E1959" s="187"/>
      <c r="F1959" s="187"/>
      <c r="G1959" s="187"/>
      <c r="H1959" s="187"/>
      <c r="I1959" s="187"/>
      <c r="J1959" s="187"/>
      <c r="K1959" s="187"/>
      <c r="L1959" s="187"/>
      <c r="M1959" s="187"/>
      <c r="N1959" s="187"/>
      <c r="O1959" s="187"/>
      <c r="P1959" s="187"/>
      <c r="Q1959" s="187"/>
      <c r="R1959" s="187"/>
      <c r="S1959" s="188"/>
    </row>
    <row r="1960" spans="2:19" ht="12.75">
      <c r="B1960" s="185"/>
      <c r="C1960" s="186"/>
      <c r="D1960" s="187"/>
      <c r="E1960" s="187"/>
      <c r="F1960" s="187"/>
      <c r="G1960" s="187"/>
      <c r="H1960" s="187"/>
      <c r="I1960" s="187"/>
      <c r="J1960" s="187"/>
      <c r="K1960" s="187"/>
      <c r="L1960" s="187"/>
      <c r="M1960" s="187"/>
      <c r="N1960" s="187"/>
      <c r="O1960" s="187"/>
      <c r="P1960" s="187"/>
      <c r="Q1960" s="187"/>
      <c r="R1960" s="187"/>
      <c r="S1960" s="188"/>
    </row>
    <row r="1961" spans="2:19" ht="12.75">
      <c r="B1961" s="185"/>
      <c r="C1961" s="186"/>
      <c r="D1961" s="187"/>
      <c r="E1961" s="187"/>
      <c r="F1961" s="187"/>
      <c r="G1961" s="187"/>
      <c r="H1961" s="187"/>
      <c r="I1961" s="187"/>
      <c r="J1961" s="187"/>
      <c r="K1961" s="187"/>
      <c r="L1961" s="187"/>
      <c r="M1961" s="187"/>
      <c r="N1961" s="187"/>
      <c r="O1961" s="187"/>
      <c r="P1961" s="187"/>
      <c r="Q1961" s="187"/>
      <c r="R1961" s="187"/>
      <c r="S1961" s="188"/>
    </row>
    <row r="1962" spans="2:19" ht="12.75">
      <c r="B1962" s="185"/>
      <c r="C1962" s="186"/>
      <c r="D1962" s="187"/>
      <c r="E1962" s="187"/>
      <c r="F1962" s="187"/>
      <c r="G1962" s="187"/>
      <c r="H1962" s="187"/>
      <c r="I1962" s="187"/>
      <c r="J1962" s="187"/>
      <c r="K1962" s="187"/>
      <c r="L1962" s="187"/>
      <c r="M1962" s="187"/>
      <c r="N1962" s="187"/>
      <c r="O1962" s="187"/>
      <c r="P1962" s="187"/>
      <c r="Q1962" s="187"/>
      <c r="R1962" s="187"/>
      <c r="S1962" s="188"/>
    </row>
    <row r="1963" spans="2:19" ht="12.75">
      <c r="B1963" s="185"/>
      <c r="C1963" s="186"/>
      <c r="D1963" s="187"/>
      <c r="E1963" s="187"/>
      <c r="F1963" s="187"/>
      <c r="G1963" s="187"/>
      <c r="H1963" s="187"/>
      <c r="I1963" s="187"/>
      <c r="J1963" s="187"/>
      <c r="K1963" s="187"/>
      <c r="L1963" s="187"/>
      <c r="M1963" s="187"/>
      <c r="N1963" s="187"/>
      <c r="O1963" s="187"/>
      <c r="P1963" s="187"/>
      <c r="Q1963" s="187"/>
      <c r="R1963" s="187"/>
      <c r="S1963" s="188"/>
    </row>
    <row r="1964" spans="2:19" ht="12.75">
      <c r="B1964" s="185"/>
      <c r="C1964" s="186"/>
      <c r="D1964" s="187"/>
      <c r="E1964" s="187"/>
      <c r="F1964" s="187"/>
      <c r="G1964" s="187"/>
      <c r="H1964" s="187"/>
      <c r="I1964" s="187"/>
      <c r="J1964" s="187"/>
      <c r="K1964" s="187"/>
      <c r="L1964" s="187"/>
      <c r="M1964" s="187"/>
      <c r="N1964" s="187"/>
      <c r="O1964" s="187"/>
      <c r="P1964" s="187"/>
      <c r="Q1964" s="187"/>
      <c r="R1964" s="187"/>
      <c r="S1964" s="188"/>
    </row>
    <row r="1965" spans="2:19" ht="12.75">
      <c r="B1965" s="185"/>
      <c r="C1965" s="186"/>
      <c r="D1965" s="187"/>
      <c r="E1965" s="187"/>
      <c r="F1965" s="187"/>
      <c r="G1965" s="187"/>
      <c r="H1965" s="187"/>
      <c r="I1965" s="187"/>
      <c r="J1965" s="187"/>
      <c r="K1965" s="187"/>
      <c r="L1965" s="187"/>
      <c r="M1965" s="187"/>
      <c r="N1965" s="187"/>
      <c r="O1965" s="187"/>
      <c r="P1965" s="187"/>
      <c r="Q1965" s="187"/>
      <c r="R1965" s="187"/>
      <c r="S1965" s="188"/>
    </row>
    <row r="1966" spans="2:19" ht="12.75">
      <c r="B1966" s="185"/>
      <c r="C1966" s="186"/>
      <c r="D1966" s="187"/>
      <c r="E1966" s="187"/>
      <c r="F1966" s="187"/>
      <c r="G1966" s="187"/>
      <c r="H1966" s="187"/>
      <c r="I1966" s="187"/>
      <c r="J1966" s="187"/>
      <c r="K1966" s="187"/>
      <c r="L1966" s="187"/>
      <c r="M1966" s="187"/>
      <c r="N1966" s="187"/>
      <c r="O1966" s="187"/>
      <c r="P1966" s="187"/>
      <c r="Q1966" s="187"/>
      <c r="R1966" s="187"/>
      <c r="S1966" s="188"/>
    </row>
    <row r="1967" spans="2:19" ht="12.75">
      <c r="B1967" s="185"/>
      <c r="C1967" s="186"/>
      <c r="D1967" s="187"/>
      <c r="E1967" s="187"/>
      <c r="F1967" s="187"/>
      <c r="G1967" s="187"/>
      <c r="H1967" s="187"/>
      <c r="I1967" s="187"/>
      <c r="J1967" s="187"/>
      <c r="K1967" s="187"/>
      <c r="L1967" s="187"/>
      <c r="M1967" s="187"/>
      <c r="N1967" s="187"/>
      <c r="O1967" s="187"/>
      <c r="P1967" s="187"/>
      <c r="Q1967" s="187"/>
      <c r="R1967" s="187"/>
      <c r="S1967" s="188"/>
    </row>
    <row r="1968" spans="2:19" ht="12.75">
      <c r="B1968" s="185"/>
      <c r="C1968" s="186"/>
      <c r="D1968" s="187"/>
      <c r="E1968" s="187"/>
      <c r="F1968" s="187"/>
      <c r="G1968" s="187"/>
      <c r="H1968" s="187"/>
      <c r="I1968" s="187"/>
      <c r="J1968" s="187"/>
      <c r="K1968" s="187"/>
      <c r="L1968" s="187"/>
      <c r="M1968" s="187"/>
      <c r="N1968" s="187"/>
      <c r="O1968" s="187"/>
      <c r="P1968" s="187"/>
      <c r="Q1968" s="187"/>
      <c r="R1968" s="187"/>
      <c r="S1968" s="188"/>
    </row>
    <row r="1969" spans="2:19" ht="12.75">
      <c r="B1969" s="185"/>
      <c r="C1969" s="186"/>
      <c r="D1969" s="187"/>
      <c r="E1969" s="187"/>
      <c r="F1969" s="187"/>
      <c r="G1969" s="187"/>
      <c r="H1969" s="187"/>
      <c r="I1969" s="187"/>
      <c r="J1969" s="187"/>
      <c r="K1969" s="187"/>
      <c r="L1969" s="187"/>
      <c r="M1969" s="187"/>
      <c r="N1969" s="187"/>
      <c r="O1969" s="187"/>
      <c r="P1969" s="187"/>
      <c r="Q1969" s="187"/>
      <c r="R1969" s="187"/>
      <c r="S1969" s="188"/>
    </row>
    <row r="1970" spans="2:19" ht="12.75">
      <c r="B1970" s="185"/>
      <c r="C1970" s="186"/>
      <c r="D1970" s="187"/>
      <c r="E1970" s="187"/>
      <c r="F1970" s="187"/>
      <c r="G1970" s="187"/>
      <c r="H1970" s="187"/>
      <c r="I1970" s="187"/>
      <c r="J1970" s="187"/>
      <c r="K1970" s="187"/>
      <c r="L1970" s="187"/>
      <c r="M1970" s="187"/>
      <c r="N1970" s="187"/>
      <c r="O1970" s="187"/>
      <c r="P1970" s="187"/>
      <c r="Q1970" s="187"/>
      <c r="R1970" s="187"/>
      <c r="S1970" s="188"/>
    </row>
    <row r="1971" spans="2:19" ht="12.75">
      <c r="B1971" s="185"/>
      <c r="C1971" s="186"/>
      <c r="D1971" s="187"/>
      <c r="E1971" s="187"/>
      <c r="F1971" s="187"/>
      <c r="G1971" s="187"/>
      <c r="H1971" s="187"/>
      <c r="I1971" s="187"/>
      <c r="J1971" s="187"/>
      <c r="K1971" s="187"/>
      <c r="L1971" s="187"/>
      <c r="M1971" s="187"/>
      <c r="N1971" s="187"/>
      <c r="O1971" s="187"/>
      <c r="P1971" s="187"/>
      <c r="Q1971" s="187"/>
      <c r="R1971" s="187"/>
      <c r="S1971" s="188"/>
    </row>
    <row r="1972" spans="2:19" ht="12.75">
      <c r="B1972" s="185"/>
      <c r="C1972" s="186"/>
      <c r="D1972" s="187"/>
      <c r="E1972" s="187"/>
      <c r="F1972" s="187"/>
      <c r="G1972" s="187"/>
      <c r="H1972" s="187"/>
      <c r="I1972" s="187"/>
      <c r="J1972" s="187"/>
      <c r="K1972" s="187"/>
      <c r="L1972" s="187"/>
      <c r="M1972" s="187"/>
      <c r="N1972" s="187"/>
      <c r="O1972" s="187"/>
      <c r="P1972" s="187"/>
      <c r="Q1972" s="187"/>
      <c r="R1972" s="187"/>
      <c r="S1972" s="188"/>
    </row>
    <row r="1973" spans="2:19" ht="12.75">
      <c r="B1973" s="185"/>
      <c r="C1973" s="186"/>
      <c r="D1973" s="187"/>
      <c r="E1973" s="187"/>
      <c r="F1973" s="187"/>
      <c r="G1973" s="187"/>
      <c r="H1973" s="187"/>
      <c r="I1973" s="187"/>
      <c r="J1973" s="187"/>
      <c r="K1973" s="187"/>
      <c r="L1973" s="187"/>
      <c r="M1973" s="187"/>
      <c r="N1973" s="187"/>
      <c r="O1973" s="187"/>
      <c r="P1973" s="187"/>
      <c r="Q1973" s="187"/>
      <c r="R1973" s="187"/>
      <c r="S1973" s="188"/>
    </row>
    <row r="1974" spans="2:19" ht="12.75">
      <c r="B1974" s="185"/>
      <c r="C1974" s="186"/>
      <c r="D1974" s="187"/>
      <c r="E1974" s="187"/>
      <c r="F1974" s="187"/>
      <c r="G1974" s="187"/>
      <c r="H1974" s="187"/>
      <c r="I1974" s="187"/>
      <c r="J1974" s="187"/>
      <c r="K1974" s="187"/>
      <c r="L1974" s="187"/>
      <c r="M1974" s="187"/>
      <c r="N1974" s="187"/>
      <c r="O1974" s="187"/>
      <c r="P1974" s="187"/>
      <c r="Q1974" s="187"/>
      <c r="R1974" s="187"/>
      <c r="S1974" s="188"/>
    </row>
    <row r="1975" spans="2:19" ht="12.75">
      <c r="B1975" s="185"/>
      <c r="C1975" s="186"/>
      <c r="D1975" s="187"/>
      <c r="E1975" s="187"/>
      <c r="F1975" s="187"/>
      <c r="G1975" s="187"/>
      <c r="H1975" s="187"/>
      <c r="I1975" s="187"/>
      <c r="J1975" s="187"/>
      <c r="K1975" s="187"/>
      <c r="L1975" s="187"/>
      <c r="M1975" s="187"/>
      <c r="N1975" s="187"/>
      <c r="O1975" s="187"/>
      <c r="P1975" s="187"/>
      <c r="Q1975" s="187"/>
      <c r="R1975" s="187"/>
      <c r="S1975" s="188"/>
    </row>
    <row r="1976" spans="2:19" ht="12.75">
      <c r="B1976" s="185"/>
      <c r="C1976" s="186"/>
      <c r="D1976" s="187"/>
      <c r="E1976" s="187"/>
      <c r="F1976" s="187"/>
      <c r="G1976" s="187"/>
      <c r="H1976" s="187"/>
      <c r="I1976" s="187"/>
      <c r="J1976" s="187"/>
      <c r="K1976" s="187"/>
      <c r="L1976" s="187"/>
      <c r="M1976" s="187"/>
      <c r="N1976" s="187"/>
      <c r="O1976" s="187"/>
      <c r="P1976" s="187"/>
      <c r="Q1976" s="187"/>
      <c r="R1976" s="187"/>
      <c r="S1976" s="188"/>
    </row>
    <row r="1977" spans="2:19" ht="12.75">
      <c r="B1977" s="185"/>
      <c r="C1977" s="186"/>
      <c r="D1977" s="187"/>
      <c r="E1977" s="187"/>
      <c r="F1977" s="187"/>
      <c r="G1977" s="187"/>
      <c r="H1977" s="187"/>
      <c r="I1977" s="187"/>
      <c r="J1977" s="187"/>
      <c r="K1977" s="187"/>
      <c r="L1977" s="187"/>
      <c r="M1977" s="187"/>
      <c r="N1977" s="187"/>
      <c r="O1977" s="187"/>
      <c r="P1977" s="187"/>
      <c r="Q1977" s="187"/>
      <c r="R1977" s="187"/>
      <c r="S1977" s="188"/>
    </row>
    <row r="1978" spans="2:19" ht="12.75">
      <c r="B1978" s="185"/>
      <c r="C1978" s="186"/>
      <c r="D1978" s="187"/>
      <c r="E1978" s="187"/>
      <c r="F1978" s="187"/>
      <c r="G1978" s="187"/>
      <c r="H1978" s="187"/>
      <c r="I1978" s="187"/>
      <c r="J1978" s="187"/>
      <c r="K1978" s="187"/>
      <c r="L1978" s="187"/>
      <c r="M1978" s="187"/>
      <c r="N1978" s="187"/>
      <c r="O1978" s="187"/>
      <c r="P1978" s="187"/>
      <c r="Q1978" s="187"/>
      <c r="R1978" s="187"/>
      <c r="S1978" s="188"/>
    </row>
    <row r="1979" spans="2:19" ht="12.75">
      <c r="B1979" s="185"/>
      <c r="C1979" s="186"/>
      <c r="D1979" s="187"/>
      <c r="E1979" s="187"/>
      <c r="F1979" s="187"/>
      <c r="G1979" s="187"/>
      <c r="H1979" s="187"/>
      <c r="I1979" s="187"/>
      <c r="J1979" s="187"/>
      <c r="K1979" s="187"/>
      <c r="L1979" s="187"/>
      <c r="M1979" s="187"/>
      <c r="N1979" s="187"/>
      <c r="O1979" s="187"/>
      <c r="P1979" s="187"/>
      <c r="Q1979" s="187"/>
      <c r="R1979" s="187"/>
      <c r="S1979" s="188"/>
    </row>
    <row r="1980" spans="2:19" ht="12.75">
      <c r="B1980" s="185"/>
      <c r="C1980" s="186"/>
      <c r="D1980" s="187"/>
      <c r="E1980" s="187"/>
      <c r="F1980" s="187"/>
      <c r="G1980" s="187"/>
      <c r="H1980" s="187"/>
      <c r="I1980" s="187"/>
      <c r="J1980" s="187"/>
      <c r="K1980" s="187"/>
      <c r="L1980" s="187"/>
      <c r="M1980" s="187"/>
      <c r="N1980" s="187"/>
      <c r="O1980" s="187"/>
      <c r="P1980" s="187"/>
      <c r="Q1980" s="187"/>
      <c r="R1980" s="187"/>
      <c r="S1980" s="188"/>
    </row>
    <row r="1981" spans="2:19" ht="12.75">
      <c r="B1981" s="185"/>
      <c r="C1981" s="186"/>
      <c r="D1981" s="187"/>
      <c r="E1981" s="187"/>
      <c r="F1981" s="187"/>
      <c r="G1981" s="187"/>
      <c r="H1981" s="187"/>
      <c r="I1981" s="187"/>
      <c r="J1981" s="187"/>
      <c r="K1981" s="187"/>
      <c r="L1981" s="187"/>
      <c r="M1981" s="187"/>
      <c r="N1981" s="187"/>
      <c r="O1981" s="187"/>
      <c r="P1981" s="187"/>
      <c r="Q1981" s="187"/>
      <c r="R1981" s="187"/>
      <c r="S1981" s="188"/>
    </row>
    <row r="1982" spans="2:19" ht="12.75">
      <c r="B1982" s="185"/>
      <c r="C1982" s="186"/>
      <c r="D1982" s="187"/>
      <c r="E1982" s="187"/>
      <c r="F1982" s="187"/>
      <c r="G1982" s="187"/>
      <c r="H1982" s="187"/>
      <c r="I1982" s="187"/>
      <c r="J1982" s="187"/>
      <c r="K1982" s="187"/>
      <c r="L1982" s="187"/>
      <c r="M1982" s="187"/>
      <c r="N1982" s="187"/>
      <c r="O1982" s="187"/>
      <c r="P1982" s="187"/>
      <c r="Q1982" s="187"/>
      <c r="R1982" s="187"/>
      <c r="S1982" s="188"/>
    </row>
    <row r="1983" spans="2:19" ht="12.75">
      <c r="B1983" s="185"/>
      <c r="C1983" s="186"/>
      <c r="D1983" s="187"/>
      <c r="E1983" s="187"/>
      <c r="F1983" s="187"/>
      <c r="G1983" s="187"/>
      <c r="H1983" s="187"/>
      <c r="I1983" s="187"/>
      <c r="J1983" s="187"/>
      <c r="K1983" s="187"/>
      <c r="L1983" s="187"/>
      <c r="M1983" s="187"/>
      <c r="N1983" s="187"/>
      <c r="O1983" s="187"/>
      <c r="P1983" s="187"/>
      <c r="Q1983" s="187"/>
      <c r="R1983" s="187"/>
      <c r="S1983" s="188"/>
    </row>
    <row r="1984" spans="2:19" ht="12.75">
      <c r="B1984" s="185"/>
      <c r="C1984" s="186"/>
      <c r="D1984" s="187"/>
      <c r="E1984" s="187"/>
      <c r="F1984" s="187"/>
      <c r="G1984" s="187"/>
      <c r="H1984" s="187"/>
      <c r="I1984" s="187"/>
      <c r="J1984" s="187"/>
      <c r="K1984" s="187"/>
      <c r="L1984" s="187"/>
      <c r="M1984" s="187"/>
      <c r="N1984" s="187"/>
      <c r="O1984" s="187"/>
      <c r="P1984" s="187"/>
      <c r="Q1984" s="187"/>
      <c r="R1984" s="187"/>
      <c r="S1984" s="188"/>
    </row>
    <row r="1985" spans="2:19" ht="12.75">
      <c r="B1985" s="185"/>
      <c r="C1985" s="186"/>
      <c r="D1985" s="187"/>
      <c r="E1985" s="187"/>
      <c r="F1985" s="187"/>
      <c r="G1985" s="187"/>
      <c r="H1985" s="187"/>
      <c r="I1985" s="187"/>
      <c r="J1985" s="187"/>
      <c r="K1985" s="187"/>
      <c r="L1985" s="187"/>
      <c r="M1985" s="187"/>
      <c r="N1985" s="187"/>
      <c r="O1985" s="187"/>
      <c r="P1985" s="187"/>
      <c r="Q1985" s="187"/>
      <c r="R1985" s="187"/>
      <c r="S1985" s="188"/>
    </row>
    <row r="1986" spans="2:19" ht="12.75">
      <c r="B1986" s="185"/>
      <c r="C1986" s="186"/>
      <c r="D1986" s="187"/>
      <c r="E1986" s="187"/>
      <c r="F1986" s="187"/>
      <c r="G1986" s="187"/>
      <c r="H1986" s="187"/>
      <c r="I1986" s="187"/>
      <c r="J1986" s="187"/>
      <c r="K1986" s="187"/>
      <c r="L1986" s="187"/>
      <c r="M1986" s="187"/>
      <c r="N1986" s="187"/>
      <c r="O1986" s="187"/>
      <c r="P1986" s="187"/>
      <c r="Q1986" s="187"/>
      <c r="R1986" s="187"/>
      <c r="S1986" s="188"/>
    </row>
    <row r="1987" spans="2:19" ht="12.75">
      <c r="B1987" s="185"/>
      <c r="C1987" s="186"/>
      <c r="D1987" s="187"/>
      <c r="E1987" s="187"/>
      <c r="F1987" s="187"/>
      <c r="G1987" s="187"/>
      <c r="H1987" s="187"/>
      <c r="I1987" s="187"/>
      <c r="J1987" s="187"/>
      <c r="K1987" s="187"/>
      <c r="L1987" s="187"/>
      <c r="M1987" s="187"/>
      <c r="N1987" s="187"/>
      <c r="O1987" s="187"/>
      <c r="P1987" s="187"/>
      <c r="Q1987" s="187"/>
      <c r="R1987" s="187"/>
      <c r="S1987" s="188"/>
    </row>
    <row r="1988" spans="2:19" ht="12.75">
      <c r="B1988" s="185"/>
      <c r="C1988" s="186"/>
      <c r="D1988" s="187"/>
      <c r="E1988" s="187"/>
      <c r="F1988" s="187"/>
      <c r="G1988" s="187"/>
      <c r="H1988" s="187"/>
      <c r="I1988" s="187"/>
      <c r="J1988" s="187"/>
      <c r="K1988" s="187"/>
      <c r="L1988" s="187"/>
      <c r="M1988" s="187"/>
      <c r="N1988" s="187"/>
      <c r="O1988" s="187"/>
      <c r="P1988" s="187"/>
      <c r="Q1988" s="187"/>
      <c r="R1988" s="187"/>
      <c r="S1988" s="188"/>
    </row>
    <row r="1989" spans="2:19" ht="12.75">
      <c r="B1989" s="185"/>
      <c r="C1989" s="186"/>
      <c r="D1989" s="187"/>
      <c r="E1989" s="187"/>
      <c r="F1989" s="187"/>
      <c r="G1989" s="187"/>
      <c r="H1989" s="187"/>
      <c r="I1989" s="187"/>
      <c r="J1989" s="187"/>
      <c r="K1989" s="187"/>
      <c r="L1989" s="187"/>
      <c r="M1989" s="187"/>
      <c r="N1989" s="187"/>
      <c r="O1989" s="187"/>
      <c r="P1989" s="187"/>
      <c r="Q1989" s="187"/>
      <c r="R1989" s="187"/>
      <c r="S1989" s="188"/>
    </row>
    <row r="1990" spans="2:19" ht="12.75">
      <c r="B1990" s="185"/>
      <c r="C1990" s="186"/>
      <c r="D1990" s="187"/>
      <c r="E1990" s="187"/>
      <c r="F1990" s="187"/>
      <c r="G1990" s="187"/>
      <c r="H1990" s="187"/>
      <c r="I1990" s="187"/>
      <c r="J1990" s="187"/>
      <c r="K1990" s="187"/>
      <c r="L1990" s="187"/>
      <c r="M1990" s="187"/>
      <c r="N1990" s="187"/>
      <c r="O1990" s="187"/>
      <c r="P1990" s="187"/>
      <c r="Q1990" s="187"/>
      <c r="R1990" s="187"/>
      <c r="S1990" s="188"/>
    </row>
    <row r="1991" spans="2:19" ht="12.75">
      <c r="B1991" s="185"/>
      <c r="C1991" s="186"/>
      <c r="D1991" s="187"/>
      <c r="E1991" s="187"/>
      <c r="F1991" s="187"/>
      <c r="G1991" s="187"/>
      <c r="H1991" s="187"/>
      <c r="I1991" s="187"/>
      <c r="J1991" s="187"/>
      <c r="K1991" s="187"/>
      <c r="L1991" s="187"/>
      <c r="M1991" s="187"/>
      <c r="N1991" s="187"/>
      <c r="O1991" s="187"/>
      <c r="P1991" s="187"/>
      <c r="Q1991" s="187"/>
      <c r="R1991" s="187"/>
      <c r="S1991" s="188"/>
    </row>
    <row r="1992" spans="2:19" ht="12.75">
      <c r="B1992" s="185"/>
      <c r="C1992" s="186"/>
      <c r="D1992" s="187"/>
      <c r="E1992" s="187"/>
      <c r="F1992" s="187"/>
      <c r="G1992" s="187"/>
      <c r="H1992" s="187"/>
      <c r="I1992" s="187"/>
      <c r="J1992" s="187"/>
      <c r="K1992" s="187"/>
      <c r="L1992" s="187"/>
      <c r="M1992" s="187"/>
      <c r="N1992" s="187"/>
      <c r="O1992" s="187"/>
      <c r="P1992" s="187"/>
      <c r="Q1992" s="187"/>
      <c r="R1992" s="187"/>
      <c r="S1992" s="188"/>
    </row>
    <row r="1993" spans="2:19" ht="12.75">
      <c r="B1993" s="185"/>
      <c r="C1993" s="186"/>
      <c r="D1993" s="187"/>
      <c r="E1993" s="187"/>
      <c r="F1993" s="187"/>
      <c r="G1993" s="187"/>
      <c r="H1993" s="187"/>
      <c r="I1993" s="187"/>
      <c r="J1993" s="187"/>
      <c r="K1993" s="187"/>
      <c r="L1993" s="187"/>
      <c r="M1993" s="187"/>
      <c r="N1993" s="187"/>
      <c r="O1993" s="187"/>
      <c r="P1993" s="187"/>
      <c r="Q1993" s="187"/>
      <c r="R1993" s="187"/>
      <c r="S1993" s="188"/>
    </row>
    <row r="1994" spans="2:19" ht="12.75">
      <c r="B1994" s="185"/>
      <c r="C1994" s="186"/>
      <c r="D1994" s="187"/>
      <c r="E1994" s="187"/>
      <c r="F1994" s="187"/>
      <c r="G1994" s="187"/>
      <c r="H1994" s="187"/>
      <c r="I1994" s="187"/>
      <c r="J1994" s="187"/>
      <c r="K1994" s="187"/>
      <c r="L1994" s="187"/>
      <c r="M1994" s="187"/>
      <c r="N1994" s="187"/>
      <c r="O1994" s="187"/>
      <c r="P1994" s="187"/>
      <c r="Q1994" s="187"/>
      <c r="R1994" s="187"/>
      <c r="S1994" s="188"/>
    </row>
    <row r="1995" spans="2:19" ht="12.75">
      <c r="B1995" s="185"/>
      <c r="C1995" s="186"/>
      <c r="D1995" s="187"/>
      <c r="E1995" s="187"/>
      <c r="F1995" s="187"/>
      <c r="G1995" s="187"/>
      <c r="H1995" s="187"/>
      <c r="I1995" s="187"/>
      <c r="J1995" s="187"/>
      <c r="K1995" s="187"/>
      <c r="L1995" s="187"/>
      <c r="M1995" s="187"/>
      <c r="N1995" s="187"/>
      <c r="O1995" s="187"/>
      <c r="P1995" s="187"/>
      <c r="Q1995" s="187"/>
      <c r="R1995" s="187"/>
      <c r="S1995" s="188"/>
    </row>
    <row r="1996" spans="2:19" ht="12.75">
      <c r="B1996" s="185"/>
      <c r="C1996" s="186"/>
      <c r="D1996" s="187"/>
      <c r="E1996" s="187"/>
      <c r="F1996" s="187"/>
      <c r="G1996" s="187"/>
      <c r="H1996" s="187"/>
      <c r="I1996" s="187"/>
      <c r="J1996" s="187"/>
      <c r="K1996" s="187"/>
      <c r="L1996" s="187"/>
      <c r="M1996" s="187"/>
      <c r="N1996" s="187"/>
      <c r="O1996" s="187"/>
      <c r="P1996" s="187"/>
      <c r="Q1996" s="187"/>
      <c r="R1996" s="187"/>
      <c r="S1996" s="188"/>
    </row>
    <row r="1997" spans="2:19" ht="12.75">
      <c r="B1997" s="185"/>
      <c r="C1997" s="186"/>
      <c r="D1997" s="187"/>
      <c r="E1997" s="187"/>
      <c r="F1997" s="187"/>
      <c r="G1997" s="187"/>
      <c r="H1997" s="187"/>
      <c r="I1997" s="187"/>
      <c r="J1997" s="187"/>
      <c r="K1997" s="187"/>
      <c r="L1997" s="187"/>
      <c r="M1997" s="187"/>
      <c r="N1997" s="187"/>
      <c r="O1997" s="187"/>
      <c r="P1997" s="187"/>
      <c r="Q1997" s="187"/>
      <c r="R1997" s="187"/>
      <c r="S1997" s="188"/>
    </row>
    <row r="1998" spans="2:19" ht="12.75">
      <c r="B1998" s="185"/>
      <c r="C1998" s="186"/>
      <c r="D1998" s="187"/>
      <c r="E1998" s="187"/>
      <c r="F1998" s="187"/>
      <c r="G1998" s="187"/>
      <c r="H1998" s="187"/>
      <c r="I1998" s="187"/>
      <c r="J1998" s="187"/>
      <c r="K1998" s="187"/>
      <c r="L1998" s="187"/>
      <c r="M1998" s="187"/>
      <c r="N1998" s="187"/>
      <c r="O1998" s="187"/>
      <c r="P1998" s="187"/>
      <c r="Q1998" s="187"/>
      <c r="R1998" s="187"/>
      <c r="S1998" s="188"/>
    </row>
    <row r="1999" spans="2:19" ht="12.75">
      <c r="B1999" s="185"/>
      <c r="C1999" s="186"/>
      <c r="D1999" s="187"/>
      <c r="E1999" s="187"/>
      <c r="F1999" s="187"/>
      <c r="G1999" s="187"/>
      <c r="H1999" s="187"/>
      <c r="I1999" s="187"/>
      <c r="J1999" s="187"/>
      <c r="K1999" s="187"/>
      <c r="L1999" s="187"/>
      <c r="M1999" s="187"/>
      <c r="N1999" s="187"/>
      <c r="O1999" s="187"/>
      <c r="P1999" s="187"/>
      <c r="Q1999" s="187"/>
      <c r="R1999" s="187"/>
      <c r="S1999" s="188"/>
    </row>
    <row r="2000" spans="2:19" ht="12.75">
      <c r="B2000" s="185"/>
      <c r="C2000" s="186"/>
      <c r="D2000" s="187"/>
      <c r="E2000" s="187"/>
      <c r="F2000" s="187"/>
      <c r="G2000" s="187"/>
      <c r="H2000" s="187"/>
      <c r="I2000" s="187"/>
      <c r="J2000" s="187"/>
      <c r="K2000" s="187"/>
      <c r="L2000" s="187"/>
      <c r="M2000" s="187"/>
      <c r="N2000" s="187"/>
      <c r="O2000" s="187"/>
      <c r="P2000" s="187"/>
      <c r="Q2000" s="187"/>
      <c r="R2000" s="187"/>
      <c r="S2000" s="188"/>
    </row>
    <row r="2001" spans="2:19" ht="12.75">
      <c r="B2001" s="185"/>
      <c r="C2001" s="186"/>
      <c r="D2001" s="187"/>
      <c r="E2001" s="187"/>
      <c r="F2001" s="187"/>
      <c r="G2001" s="187"/>
      <c r="H2001" s="187"/>
      <c r="I2001" s="187"/>
      <c r="J2001" s="187"/>
      <c r="K2001" s="187"/>
      <c r="L2001" s="187"/>
      <c r="M2001" s="187"/>
      <c r="N2001" s="187"/>
      <c r="O2001" s="187"/>
      <c r="P2001" s="187"/>
      <c r="Q2001" s="187"/>
      <c r="R2001" s="187"/>
      <c r="S2001" s="188"/>
    </row>
    <row r="2002" spans="2:19" ht="12.75">
      <c r="B2002" s="185"/>
      <c r="C2002" s="186"/>
      <c r="D2002" s="187"/>
      <c r="E2002" s="187"/>
      <c r="F2002" s="187"/>
      <c r="G2002" s="187"/>
      <c r="H2002" s="187"/>
      <c r="I2002" s="187"/>
      <c r="J2002" s="187"/>
      <c r="K2002" s="187"/>
      <c r="L2002" s="187"/>
      <c r="M2002" s="187"/>
      <c r="N2002" s="187"/>
      <c r="O2002" s="187"/>
      <c r="P2002" s="187"/>
      <c r="Q2002" s="187"/>
      <c r="R2002" s="187"/>
      <c r="S2002" s="188"/>
    </row>
    <row r="2003" spans="2:19" ht="12.75">
      <c r="B2003" s="185"/>
      <c r="C2003" s="186"/>
      <c r="D2003" s="187"/>
      <c r="E2003" s="187"/>
      <c r="F2003" s="187"/>
      <c r="G2003" s="187"/>
      <c r="H2003" s="187"/>
      <c r="I2003" s="187"/>
      <c r="J2003" s="187"/>
      <c r="K2003" s="187"/>
      <c r="L2003" s="187"/>
      <c r="M2003" s="187"/>
      <c r="N2003" s="187"/>
      <c r="O2003" s="187"/>
      <c r="P2003" s="187"/>
      <c r="Q2003" s="187"/>
      <c r="R2003" s="187"/>
      <c r="S2003" s="188"/>
    </row>
    <row r="2004" spans="2:19" ht="12.75">
      <c r="B2004" s="185"/>
      <c r="C2004" s="186"/>
      <c r="D2004" s="187"/>
      <c r="E2004" s="187"/>
      <c r="F2004" s="187"/>
      <c r="G2004" s="187"/>
      <c r="H2004" s="187"/>
      <c r="I2004" s="187"/>
      <c r="J2004" s="187"/>
      <c r="K2004" s="187"/>
      <c r="L2004" s="187"/>
      <c r="M2004" s="187"/>
      <c r="N2004" s="187"/>
      <c r="O2004" s="187"/>
      <c r="P2004" s="187"/>
      <c r="Q2004" s="187"/>
      <c r="R2004" s="187"/>
      <c r="S2004" s="188"/>
    </row>
    <row r="2005" spans="2:19" ht="12.75">
      <c r="B2005" s="185"/>
      <c r="C2005" s="186"/>
      <c r="D2005" s="187"/>
      <c r="E2005" s="187"/>
      <c r="F2005" s="187"/>
      <c r="G2005" s="187"/>
      <c r="H2005" s="187"/>
      <c r="I2005" s="187"/>
      <c r="J2005" s="187"/>
      <c r="K2005" s="187"/>
      <c r="L2005" s="187"/>
      <c r="M2005" s="187"/>
      <c r="N2005" s="187"/>
      <c r="O2005" s="187"/>
      <c r="P2005" s="187"/>
      <c r="Q2005" s="187"/>
      <c r="R2005" s="187"/>
      <c r="S2005" s="188"/>
    </row>
    <row r="2006" spans="2:19" ht="12.75">
      <c r="B2006" s="185"/>
      <c r="C2006" s="186"/>
      <c r="D2006" s="187"/>
      <c r="E2006" s="187"/>
      <c r="F2006" s="187"/>
      <c r="G2006" s="187"/>
      <c r="H2006" s="187"/>
      <c r="I2006" s="187"/>
      <c r="J2006" s="187"/>
      <c r="K2006" s="187"/>
      <c r="L2006" s="187"/>
      <c r="M2006" s="187"/>
      <c r="N2006" s="187"/>
      <c r="O2006" s="187"/>
      <c r="P2006" s="187"/>
      <c r="Q2006" s="187"/>
      <c r="R2006" s="187"/>
      <c r="S2006" s="188"/>
    </row>
    <row r="2007" spans="2:19" ht="12.75">
      <c r="B2007" s="185"/>
      <c r="C2007" s="186"/>
      <c r="D2007" s="187"/>
      <c r="E2007" s="187"/>
      <c r="F2007" s="187"/>
      <c r="G2007" s="187"/>
      <c r="H2007" s="187"/>
      <c r="I2007" s="187"/>
      <c r="J2007" s="187"/>
      <c r="K2007" s="187"/>
      <c r="L2007" s="187"/>
      <c r="M2007" s="187"/>
      <c r="N2007" s="187"/>
      <c r="O2007" s="187"/>
      <c r="P2007" s="187"/>
      <c r="Q2007" s="187"/>
      <c r="R2007" s="187"/>
      <c r="S2007" s="188"/>
    </row>
    <row r="2008" spans="2:19" ht="12.75">
      <c r="B2008" s="185"/>
      <c r="C2008" s="186"/>
      <c r="D2008" s="187"/>
      <c r="E2008" s="187"/>
      <c r="F2008" s="187"/>
      <c r="G2008" s="187"/>
      <c r="H2008" s="187"/>
      <c r="I2008" s="187"/>
      <c r="J2008" s="187"/>
      <c r="K2008" s="187"/>
      <c r="L2008" s="187"/>
      <c r="M2008" s="187"/>
      <c r="N2008" s="187"/>
      <c r="O2008" s="187"/>
      <c r="P2008" s="187"/>
      <c r="Q2008" s="187"/>
      <c r="R2008" s="187"/>
      <c r="S2008" s="188"/>
    </row>
    <row r="2009" spans="2:19" ht="12.75">
      <c r="B2009" s="185"/>
      <c r="C2009" s="186"/>
      <c r="D2009" s="187"/>
      <c r="E2009" s="187"/>
      <c r="F2009" s="187"/>
      <c r="G2009" s="187"/>
      <c r="H2009" s="187"/>
      <c r="I2009" s="187"/>
      <c r="J2009" s="187"/>
      <c r="K2009" s="187"/>
      <c r="L2009" s="187"/>
      <c r="M2009" s="187"/>
      <c r="N2009" s="187"/>
      <c r="O2009" s="187"/>
      <c r="P2009" s="187"/>
      <c r="Q2009" s="187"/>
      <c r="R2009" s="187"/>
      <c r="S2009" s="188"/>
    </row>
    <row r="2010" spans="2:19" ht="12.75">
      <c r="B2010" s="185"/>
      <c r="C2010" s="186"/>
      <c r="D2010" s="187"/>
      <c r="E2010" s="187"/>
      <c r="F2010" s="187"/>
      <c r="G2010" s="187"/>
      <c r="H2010" s="187"/>
      <c r="I2010" s="187"/>
      <c r="J2010" s="187"/>
      <c r="K2010" s="187"/>
      <c r="L2010" s="187"/>
      <c r="M2010" s="187"/>
      <c r="N2010" s="187"/>
      <c r="O2010" s="187"/>
      <c r="P2010" s="187"/>
      <c r="Q2010" s="187"/>
      <c r="R2010" s="187"/>
      <c r="S2010" s="188"/>
    </row>
    <row r="2011" spans="2:19" ht="12.75">
      <c r="B2011" s="185"/>
      <c r="C2011" s="186"/>
      <c r="D2011" s="187"/>
      <c r="E2011" s="187"/>
      <c r="F2011" s="187"/>
      <c r="G2011" s="187"/>
      <c r="H2011" s="187"/>
      <c r="I2011" s="187"/>
      <c r="J2011" s="187"/>
      <c r="K2011" s="187"/>
      <c r="L2011" s="187"/>
      <c r="M2011" s="187"/>
      <c r="N2011" s="187"/>
      <c r="O2011" s="187"/>
      <c r="P2011" s="187"/>
      <c r="Q2011" s="187"/>
      <c r="R2011" s="187"/>
      <c r="S2011" s="188"/>
    </row>
    <row r="2012" spans="2:19" ht="12.75">
      <c r="B2012" s="185"/>
      <c r="C2012" s="186"/>
      <c r="D2012" s="187"/>
      <c r="E2012" s="187"/>
      <c r="F2012" s="187"/>
      <c r="G2012" s="187"/>
      <c r="H2012" s="187"/>
      <c r="I2012" s="187"/>
      <c r="J2012" s="187"/>
      <c r="K2012" s="187"/>
      <c r="L2012" s="187"/>
      <c r="M2012" s="187"/>
      <c r="N2012" s="187"/>
      <c r="O2012" s="187"/>
      <c r="P2012" s="187"/>
      <c r="Q2012" s="187"/>
      <c r="R2012" s="187"/>
      <c r="S2012" s="188"/>
    </row>
    <row r="2013" spans="2:19" ht="12.75">
      <c r="B2013" s="185"/>
      <c r="C2013" s="186"/>
      <c r="D2013" s="187"/>
      <c r="E2013" s="187"/>
      <c r="F2013" s="187"/>
      <c r="G2013" s="187"/>
      <c r="H2013" s="187"/>
      <c r="I2013" s="187"/>
      <c r="J2013" s="187"/>
      <c r="K2013" s="187"/>
      <c r="L2013" s="187"/>
      <c r="M2013" s="187"/>
      <c r="N2013" s="187"/>
      <c r="O2013" s="187"/>
      <c r="P2013" s="187"/>
      <c r="Q2013" s="187"/>
      <c r="R2013" s="187"/>
      <c r="S2013" s="188"/>
    </row>
    <row r="2014" spans="2:19" ht="12.75">
      <c r="B2014" s="185"/>
      <c r="C2014" s="186"/>
      <c r="D2014" s="187"/>
      <c r="E2014" s="187"/>
      <c r="F2014" s="187"/>
      <c r="G2014" s="187"/>
      <c r="H2014" s="187"/>
      <c r="I2014" s="187"/>
      <c r="J2014" s="187"/>
      <c r="K2014" s="187"/>
      <c r="L2014" s="187"/>
      <c r="M2014" s="187"/>
      <c r="N2014" s="187"/>
      <c r="O2014" s="187"/>
      <c r="P2014" s="187"/>
      <c r="Q2014" s="187"/>
      <c r="R2014" s="187"/>
      <c r="S2014" s="188"/>
    </row>
    <row r="2015" spans="2:19" ht="12.75">
      <c r="B2015" s="185"/>
      <c r="C2015" s="186"/>
      <c r="D2015" s="187"/>
      <c r="E2015" s="187"/>
      <c r="F2015" s="187"/>
      <c r="G2015" s="187"/>
      <c r="H2015" s="187"/>
      <c r="I2015" s="187"/>
      <c r="J2015" s="187"/>
      <c r="K2015" s="187"/>
      <c r="L2015" s="187"/>
      <c r="M2015" s="187"/>
      <c r="N2015" s="187"/>
      <c r="O2015" s="187"/>
      <c r="P2015" s="187"/>
      <c r="Q2015" s="187"/>
      <c r="R2015" s="187"/>
      <c r="S2015" s="188"/>
    </row>
    <row r="2016" spans="2:19" ht="12.75">
      <c r="B2016" s="185"/>
      <c r="C2016" s="186"/>
      <c r="D2016" s="187"/>
      <c r="E2016" s="187"/>
      <c r="F2016" s="187"/>
      <c r="G2016" s="187"/>
      <c r="H2016" s="187"/>
      <c r="I2016" s="187"/>
      <c r="J2016" s="187"/>
      <c r="K2016" s="187"/>
      <c r="L2016" s="187"/>
      <c r="M2016" s="187"/>
      <c r="N2016" s="187"/>
      <c r="O2016" s="187"/>
      <c r="P2016" s="187"/>
      <c r="Q2016" s="187"/>
      <c r="R2016" s="187"/>
      <c r="S2016" s="188"/>
    </row>
    <row r="2017" spans="2:19" ht="12.75">
      <c r="B2017" s="185"/>
      <c r="C2017" s="186"/>
      <c r="D2017" s="187"/>
      <c r="E2017" s="187"/>
      <c r="F2017" s="187"/>
      <c r="G2017" s="187"/>
      <c r="H2017" s="187"/>
      <c r="I2017" s="187"/>
      <c r="J2017" s="187"/>
      <c r="K2017" s="187"/>
      <c r="L2017" s="187"/>
      <c r="M2017" s="187"/>
      <c r="N2017" s="187"/>
      <c r="O2017" s="187"/>
      <c r="P2017" s="187"/>
      <c r="Q2017" s="187"/>
      <c r="R2017" s="187"/>
      <c r="S2017" s="188"/>
    </row>
    <row r="2018" spans="2:19" ht="12.75">
      <c r="B2018" s="185"/>
      <c r="C2018" s="186"/>
      <c r="D2018" s="187"/>
      <c r="E2018" s="187"/>
      <c r="F2018" s="187"/>
      <c r="G2018" s="187"/>
      <c r="H2018" s="187"/>
      <c r="I2018" s="187"/>
      <c r="J2018" s="187"/>
      <c r="K2018" s="187"/>
      <c r="L2018" s="187"/>
      <c r="M2018" s="187"/>
      <c r="N2018" s="187"/>
      <c r="O2018" s="187"/>
      <c r="P2018" s="187"/>
      <c r="Q2018" s="187"/>
      <c r="R2018" s="187"/>
      <c r="S2018" s="188"/>
    </row>
    <row r="2019" spans="2:19" ht="12.75">
      <c r="B2019" s="185"/>
      <c r="C2019" s="186"/>
      <c r="D2019" s="187"/>
      <c r="E2019" s="187"/>
      <c r="F2019" s="187"/>
      <c r="G2019" s="187"/>
      <c r="H2019" s="187"/>
      <c r="I2019" s="187"/>
      <c r="J2019" s="187"/>
      <c r="K2019" s="187"/>
      <c r="L2019" s="187"/>
      <c r="M2019" s="187"/>
      <c r="N2019" s="187"/>
      <c r="O2019" s="187"/>
      <c r="P2019" s="187"/>
      <c r="Q2019" s="187"/>
      <c r="R2019" s="187"/>
      <c r="S2019" s="188"/>
    </row>
    <row r="2020" spans="2:19" ht="12.75">
      <c r="B2020" s="185"/>
      <c r="C2020" s="186"/>
      <c r="D2020" s="187"/>
      <c r="E2020" s="187"/>
      <c r="F2020" s="187"/>
      <c r="G2020" s="187"/>
      <c r="H2020" s="187"/>
      <c r="I2020" s="187"/>
      <c r="J2020" s="187"/>
      <c r="K2020" s="187"/>
      <c r="L2020" s="187"/>
      <c r="M2020" s="187"/>
      <c r="N2020" s="187"/>
      <c r="O2020" s="187"/>
      <c r="P2020" s="187"/>
      <c r="Q2020" s="187"/>
      <c r="R2020" s="187"/>
      <c r="S2020" s="188"/>
    </row>
    <row r="2021" spans="2:19" ht="12.75">
      <c r="B2021" s="185"/>
      <c r="C2021" s="186"/>
      <c r="D2021" s="187"/>
      <c r="E2021" s="187"/>
      <c r="F2021" s="187"/>
      <c r="G2021" s="187"/>
      <c r="H2021" s="187"/>
      <c r="I2021" s="187"/>
      <c r="J2021" s="187"/>
      <c r="K2021" s="187"/>
      <c r="L2021" s="187"/>
      <c r="M2021" s="187"/>
      <c r="N2021" s="187"/>
      <c r="O2021" s="187"/>
      <c r="P2021" s="187"/>
      <c r="Q2021" s="187"/>
      <c r="R2021" s="187"/>
      <c r="S2021" s="188"/>
    </row>
    <row r="2022" spans="2:19" ht="12.75">
      <c r="B2022" s="185"/>
      <c r="C2022" s="186"/>
      <c r="D2022" s="187"/>
      <c r="E2022" s="187"/>
      <c r="F2022" s="187"/>
      <c r="G2022" s="187"/>
      <c r="H2022" s="187"/>
      <c r="I2022" s="187"/>
      <c r="J2022" s="187"/>
      <c r="K2022" s="187"/>
      <c r="L2022" s="187"/>
      <c r="M2022" s="187"/>
      <c r="N2022" s="187"/>
      <c r="O2022" s="187"/>
      <c r="P2022" s="187"/>
      <c r="Q2022" s="187"/>
      <c r="R2022" s="187"/>
      <c r="S2022" s="188"/>
    </row>
    <row r="2023" spans="2:19" ht="12.75">
      <c r="B2023" s="185"/>
      <c r="C2023" s="186"/>
      <c r="D2023" s="187"/>
      <c r="E2023" s="187"/>
      <c r="F2023" s="187"/>
      <c r="G2023" s="187"/>
      <c r="H2023" s="187"/>
      <c r="I2023" s="187"/>
      <c r="J2023" s="187"/>
      <c r="K2023" s="187"/>
      <c r="L2023" s="187"/>
      <c r="M2023" s="187"/>
      <c r="N2023" s="187"/>
      <c r="O2023" s="187"/>
      <c r="P2023" s="187"/>
      <c r="Q2023" s="187"/>
      <c r="R2023" s="187"/>
      <c r="S2023" s="188"/>
    </row>
    <row r="2024" spans="2:19" ht="12.75">
      <c r="B2024" s="185"/>
      <c r="C2024" s="186"/>
      <c r="D2024" s="187"/>
      <c r="E2024" s="187"/>
      <c r="F2024" s="187"/>
      <c r="G2024" s="187"/>
      <c r="H2024" s="187"/>
      <c r="I2024" s="187"/>
      <c r="J2024" s="187"/>
      <c r="K2024" s="187"/>
      <c r="L2024" s="187"/>
      <c r="M2024" s="187"/>
      <c r="N2024" s="187"/>
      <c r="O2024" s="187"/>
      <c r="P2024" s="187"/>
      <c r="Q2024" s="187"/>
      <c r="R2024" s="187"/>
      <c r="S2024" s="188"/>
    </row>
    <row r="2025" spans="2:19" ht="12.75">
      <c r="B2025" s="185"/>
      <c r="C2025" s="186"/>
      <c r="D2025" s="187"/>
      <c r="E2025" s="187"/>
      <c r="F2025" s="187"/>
      <c r="G2025" s="187"/>
      <c r="H2025" s="187"/>
      <c r="I2025" s="187"/>
      <c r="J2025" s="187"/>
      <c r="K2025" s="187"/>
      <c r="L2025" s="187"/>
      <c r="M2025" s="187"/>
      <c r="N2025" s="187"/>
      <c r="O2025" s="187"/>
      <c r="P2025" s="187"/>
      <c r="Q2025" s="187"/>
      <c r="R2025" s="187"/>
      <c r="S2025" s="188"/>
    </row>
    <row r="2026" spans="2:19" ht="12.75">
      <c r="B2026" s="185"/>
      <c r="C2026" s="186"/>
      <c r="D2026" s="187"/>
      <c r="E2026" s="187"/>
      <c r="F2026" s="187"/>
      <c r="G2026" s="187"/>
      <c r="H2026" s="187"/>
      <c r="I2026" s="187"/>
      <c r="J2026" s="187"/>
      <c r="K2026" s="187"/>
      <c r="L2026" s="187"/>
      <c r="M2026" s="187"/>
      <c r="N2026" s="187"/>
      <c r="O2026" s="187"/>
      <c r="P2026" s="187"/>
      <c r="Q2026" s="187"/>
      <c r="R2026" s="187"/>
      <c r="S2026" s="188"/>
    </row>
    <row r="2027" spans="2:19" ht="12.75">
      <c r="B2027" s="185"/>
      <c r="C2027" s="186"/>
      <c r="D2027" s="187"/>
      <c r="E2027" s="187"/>
      <c r="F2027" s="187"/>
      <c r="G2027" s="187"/>
      <c r="H2027" s="187"/>
      <c r="I2027" s="187"/>
      <c r="J2027" s="187"/>
      <c r="K2027" s="187"/>
      <c r="L2027" s="187"/>
      <c r="M2027" s="187"/>
      <c r="N2027" s="187"/>
      <c r="O2027" s="187"/>
      <c r="P2027" s="187"/>
      <c r="Q2027" s="187"/>
      <c r="R2027" s="187"/>
      <c r="S2027" s="188"/>
    </row>
    <row r="2028" spans="2:19" ht="12.75">
      <c r="B2028" s="185"/>
      <c r="C2028" s="186"/>
      <c r="D2028" s="187"/>
      <c r="E2028" s="187"/>
      <c r="F2028" s="187"/>
      <c r="G2028" s="187"/>
      <c r="H2028" s="187"/>
      <c r="I2028" s="187"/>
      <c r="J2028" s="187"/>
      <c r="K2028" s="187"/>
      <c r="L2028" s="187"/>
      <c r="M2028" s="187"/>
      <c r="N2028" s="187"/>
      <c r="O2028" s="187"/>
      <c r="P2028" s="187"/>
      <c r="Q2028" s="187"/>
      <c r="R2028" s="187"/>
      <c r="S2028" s="188"/>
    </row>
    <row r="2029" spans="2:19" ht="12.75">
      <c r="B2029" s="185"/>
      <c r="C2029" s="186"/>
      <c r="D2029" s="187"/>
      <c r="E2029" s="187"/>
      <c r="F2029" s="187"/>
      <c r="G2029" s="187"/>
      <c r="H2029" s="187"/>
      <c r="I2029" s="187"/>
      <c r="J2029" s="187"/>
      <c r="K2029" s="187"/>
      <c r="L2029" s="187"/>
      <c r="M2029" s="187"/>
      <c r="N2029" s="187"/>
      <c r="O2029" s="187"/>
      <c r="P2029" s="187"/>
      <c r="Q2029" s="187"/>
      <c r="R2029" s="187"/>
      <c r="S2029" s="188"/>
    </row>
    <row r="2030" spans="2:19" ht="12.75">
      <c r="B2030" s="185"/>
      <c r="C2030" s="186"/>
      <c r="D2030" s="187"/>
      <c r="E2030" s="187"/>
      <c r="F2030" s="187"/>
      <c r="G2030" s="187"/>
      <c r="H2030" s="187"/>
      <c r="I2030" s="187"/>
      <c r="J2030" s="187"/>
      <c r="K2030" s="187"/>
      <c r="L2030" s="187"/>
      <c r="M2030" s="187"/>
      <c r="N2030" s="187"/>
      <c r="O2030" s="187"/>
      <c r="P2030" s="187"/>
      <c r="Q2030" s="187"/>
      <c r="R2030" s="187"/>
      <c r="S2030" s="188"/>
    </row>
    <row r="2031" spans="2:19" ht="12.75">
      <c r="B2031" s="185"/>
      <c r="C2031" s="186"/>
      <c r="D2031" s="187"/>
      <c r="E2031" s="187"/>
      <c r="F2031" s="187"/>
      <c r="G2031" s="187"/>
      <c r="H2031" s="187"/>
      <c r="I2031" s="187"/>
      <c r="J2031" s="187"/>
      <c r="K2031" s="187"/>
      <c r="L2031" s="187"/>
      <c r="M2031" s="187"/>
      <c r="N2031" s="187"/>
      <c r="O2031" s="187"/>
      <c r="P2031" s="187"/>
      <c r="Q2031" s="187"/>
      <c r="R2031" s="187"/>
      <c r="S2031" s="188"/>
    </row>
    <row r="2032" spans="2:19" ht="12.75">
      <c r="B2032" s="185"/>
      <c r="C2032" s="186"/>
      <c r="D2032" s="187"/>
      <c r="E2032" s="187"/>
      <c r="F2032" s="187"/>
      <c r="G2032" s="187"/>
      <c r="H2032" s="187"/>
      <c r="I2032" s="187"/>
      <c r="J2032" s="187"/>
      <c r="K2032" s="187"/>
      <c r="L2032" s="187"/>
      <c r="M2032" s="187"/>
      <c r="N2032" s="187"/>
      <c r="O2032" s="187"/>
      <c r="P2032" s="187"/>
      <c r="Q2032" s="187"/>
      <c r="R2032" s="187"/>
      <c r="S2032" s="188"/>
    </row>
    <row r="2033" spans="2:19" ht="12.75">
      <c r="B2033" s="185"/>
      <c r="C2033" s="186"/>
      <c r="D2033" s="187"/>
      <c r="E2033" s="187"/>
      <c r="F2033" s="187"/>
      <c r="G2033" s="187"/>
      <c r="H2033" s="187"/>
      <c r="I2033" s="187"/>
      <c r="J2033" s="187"/>
      <c r="K2033" s="187"/>
      <c r="L2033" s="187"/>
      <c r="M2033" s="187"/>
      <c r="N2033" s="187"/>
      <c r="O2033" s="187"/>
      <c r="P2033" s="187"/>
      <c r="Q2033" s="187"/>
      <c r="R2033" s="187"/>
      <c r="S2033" s="188"/>
    </row>
    <row r="2034" spans="2:19" ht="12.75">
      <c r="B2034" s="185"/>
      <c r="C2034" s="186"/>
      <c r="D2034" s="187"/>
      <c r="E2034" s="187"/>
      <c r="F2034" s="187"/>
      <c r="G2034" s="187"/>
      <c r="H2034" s="187"/>
      <c r="I2034" s="187"/>
      <c r="J2034" s="187"/>
      <c r="K2034" s="187"/>
      <c r="L2034" s="187"/>
      <c r="M2034" s="187"/>
      <c r="N2034" s="187"/>
      <c r="O2034" s="187"/>
      <c r="P2034" s="187"/>
      <c r="Q2034" s="187"/>
      <c r="R2034" s="187"/>
      <c r="S2034" s="188"/>
    </row>
    <row r="2035" spans="2:19" ht="12.75">
      <c r="B2035" s="185"/>
      <c r="C2035" s="186"/>
      <c r="D2035" s="187"/>
      <c r="E2035" s="187"/>
      <c r="F2035" s="187"/>
      <c r="G2035" s="187"/>
      <c r="H2035" s="187"/>
      <c r="I2035" s="187"/>
      <c r="J2035" s="187"/>
      <c r="K2035" s="187"/>
      <c r="L2035" s="187"/>
      <c r="M2035" s="187"/>
      <c r="N2035" s="187"/>
      <c r="O2035" s="187"/>
      <c r="P2035" s="187"/>
      <c r="Q2035" s="187"/>
      <c r="R2035" s="187"/>
      <c r="S2035" s="188"/>
    </row>
    <row r="2036" spans="2:19" ht="12.75">
      <c r="B2036" s="185"/>
      <c r="C2036" s="186"/>
      <c r="D2036" s="187"/>
      <c r="E2036" s="187"/>
      <c r="F2036" s="187"/>
      <c r="G2036" s="187"/>
      <c r="H2036" s="187"/>
      <c r="I2036" s="187"/>
      <c r="J2036" s="187"/>
      <c r="K2036" s="187"/>
      <c r="L2036" s="187"/>
      <c r="M2036" s="187"/>
      <c r="N2036" s="187"/>
      <c r="O2036" s="187"/>
      <c r="P2036" s="187"/>
      <c r="Q2036" s="187"/>
      <c r="R2036" s="187"/>
      <c r="S2036" s="188"/>
    </row>
    <row r="2037" spans="2:19" ht="12.75">
      <c r="B2037" s="185"/>
      <c r="C2037" s="186"/>
      <c r="D2037" s="187"/>
      <c r="E2037" s="187"/>
      <c r="F2037" s="187"/>
      <c r="G2037" s="187"/>
      <c r="H2037" s="187"/>
      <c r="I2037" s="187"/>
      <c r="J2037" s="187"/>
      <c r="K2037" s="187"/>
      <c r="L2037" s="187"/>
      <c r="M2037" s="187"/>
      <c r="N2037" s="187"/>
      <c r="O2037" s="187"/>
      <c r="P2037" s="187"/>
      <c r="Q2037" s="187"/>
      <c r="R2037" s="187"/>
      <c r="S2037" s="188"/>
    </row>
    <row r="2038" spans="2:19" ht="12.75">
      <c r="B2038" s="185"/>
      <c r="C2038" s="186"/>
      <c r="D2038" s="187"/>
      <c r="E2038" s="187"/>
      <c r="F2038" s="187"/>
      <c r="G2038" s="187"/>
      <c r="H2038" s="187"/>
      <c r="I2038" s="187"/>
      <c r="J2038" s="187"/>
      <c r="K2038" s="187"/>
      <c r="L2038" s="187"/>
      <c r="M2038" s="187"/>
      <c r="N2038" s="187"/>
      <c r="O2038" s="187"/>
      <c r="P2038" s="187"/>
      <c r="Q2038" s="187"/>
      <c r="R2038" s="187"/>
      <c r="S2038" s="188"/>
    </row>
    <row r="2039" spans="2:19" ht="12.75">
      <c r="B2039" s="185"/>
      <c r="C2039" s="186"/>
      <c r="D2039" s="187"/>
      <c r="E2039" s="187"/>
      <c r="F2039" s="187"/>
      <c r="G2039" s="187"/>
      <c r="H2039" s="187"/>
      <c r="I2039" s="187"/>
      <c r="J2039" s="187"/>
      <c r="K2039" s="187"/>
      <c r="L2039" s="187"/>
      <c r="M2039" s="187"/>
      <c r="N2039" s="187"/>
      <c r="O2039" s="187"/>
      <c r="P2039" s="187"/>
      <c r="Q2039" s="187"/>
      <c r="R2039" s="187"/>
      <c r="S2039" s="188"/>
    </row>
    <row r="2040" spans="2:19" ht="12.75">
      <c r="B2040" s="185"/>
      <c r="C2040" s="186"/>
      <c r="D2040" s="187"/>
      <c r="E2040" s="187"/>
      <c r="F2040" s="187"/>
      <c r="G2040" s="187"/>
      <c r="H2040" s="187"/>
      <c r="I2040" s="187"/>
      <c r="J2040" s="187"/>
      <c r="K2040" s="187"/>
      <c r="L2040" s="187"/>
      <c r="M2040" s="187"/>
      <c r="N2040" s="187"/>
      <c r="O2040" s="187"/>
      <c r="P2040" s="187"/>
      <c r="Q2040" s="187"/>
      <c r="R2040" s="187"/>
      <c r="S2040" s="188"/>
    </row>
    <row r="2041" spans="2:19" ht="12.75">
      <c r="B2041" s="185"/>
      <c r="C2041" s="186"/>
      <c r="D2041" s="187"/>
      <c r="E2041" s="187"/>
      <c r="F2041" s="187"/>
      <c r="G2041" s="187"/>
      <c r="H2041" s="187"/>
      <c r="I2041" s="187"/>
      <c r="J2041" s="187"/>
      <c r="K2041" s="187"/>
      <c r="L2041" s="187"/>
      <c r="M2041" s="187"/>
      <c r="N2041" s="187"/>
      <c r="O2041" s="187"/>
      <c r="P2041" s="187"/>
      <c r="Q2041" s="187"/>
      <c r="R2041" s="187"/>
      <c r="S2041" s="188"/>
    </row>
    <row r="2042" spans="2:19" ht="12.75">
      <c r="B2042" s="185"/>
      <c r="C2042" s="186"/>
      <c r="D2042" s="187"/>
      <c r="E2042" s="187"/>
      <c r="F2042" s="187"/>
      <c r="G2042" s="187"/>
      <c r="H2042" s="187"/>
      <c r="I2042" s="187"/>
      <c r="J2042" s="187"/>
      <c r="K2042" s="187"/>
      <c r="L2042" s="187"/>
      <c r="M2042" s="187"/>
      <c r="N2042" s="187"/>
      <c r="O2042" s="187"/>
      <c r="P2042" s="187"/>
      <c r="Q2042" s="187"/>
      <c r="R2042" s="187"/>
      <c r="S2042" s="188"/>
    </row>
    <row r="2043" spans="2:19" ht="12.75">
      <c r="B2043" s="185"/>
      <c r="C2043" s="186"/>
      <c r="D2043" s="187"/>
      <c r="E2043" s="187"/>
      <c r="F2043" s="187"/>
      <c r="G2043" s="187"/>
      <c r="H2043" s="187"/>
      <c r="I2043" s="187"/>
      <c r="J2043" s="187"/>
      <c r="K2043" s="187"/>
      <c r="L2043" s="187"/>
      <c r="M2043" s="187"/>
      <c r="N2043" s="187"/>
      <c r="O2043" s="187"/>
      <c r="P2043" s="187"/>
      <c r="Q2043" s="187"/>
      <c r="R2043" s="187"/>
      <c r="S2043" s="188"/>
    </row>
    <row r="2044" spans="2:19" ht="12.75">
      <c r="B2044" s="185"/>
      <c r="C2044" s="186"/>
      <c r="D2044" s="187"/>
      <c r="E2044" s="187"/>
      <c r="F2044" s="187"/>
      <c r="G2044" s="187"/>
      <c r="H2044" s="187"/>
      <c r="I2044" s="187"/>
      <c r="J2044" s="187"/>
      <c r="K2044" s="187"/>
      <c r="L2044" s="187"/>
      <c r="M2044" s="187"/>
      <c r="N2044" s="187"/>
      <c r="O2044" s="187"/>
      <c r="P2044" s="187"/>
      <c r="Q2044" s="187"/>
      <c r="R2044" s="187"/>
      <c r="S2044" s="188"/>
    </row>
    <row r="2045" spans="2:19" ht="12.75">
      <c r="B2045" s="185"/>
      <c r="C2045" s="186"/>
      <c r="D2045" s="187"/>
      <c r="E2045" s="187"/>
      <c r="F2045" s="187"/>
      <c r="G2045" s="187"/>
      <c r="H2045" s="187"/>
      <c r="I2045" s="187"/>
      <c r="J2045" s="187"/>
      <c r="K2045" s="187"/>
      <c r="L2045" s="187"/>
      <c r="M2045" s="187"/>
      <c r="N2045" s="187"/>
      <c r="O2045" s="187"/>
      <c r="P2045" s="187"/>
      <c r="Q2045" s="187"/>
      <c r="R2045" s="187"/>
      <c r="S2045" s="188"/>
    </row>
    <row r="2046" spans="2:19" ht="12.75">
      <c r="B2046" s="185"/>
      <c r="C2046" s="186"/>
      <c r="D2046" s="187"/>
      <c r="E2046" s="187"/>
      <c r="F2046" s="187"/>
      <c r="G2046" s="187"/>
      <c r="H2046" s="187"/>
      <c r="I2046" s="187"/>
      <c r="J2046" s="187"/>
      <c r="K2046" s="187"/>
      <c r="L2046" s="187"/>
      <c r="M2046" s="187"/>
      <c r="N2046" s="187"/>
      <c r="O2046" s="187"/>
      <c r="P2046" s="187"/>
      <c r="Q2046" s="187"/>
      <c r="R2046" s="187"/>
      <c r="S2046" s="188"/>
    </row>
    <row r="2047" spans="2:19" ht="12.75">
      <c r="B2047" s="185"/>
      <c r="C2047" s="186"/>
      <c r="D2047" s="187"/>
      <c r="E2047" s="187"/>
      <c r="F2047" s="187"/>
      <c r="G2047" s="187"/>
      <c r="H2047" s="187"/>
      <c r="I2047" s="187"/>
      <c r="J2047" s="187"/>
      <c r="K2047" s="187"/>
      <c r="L2047" s="187"/>
      <c r="M2047" s="187"/>
      <c r="N2047" s="187"/>
      <c r="O2047" s="187"/>
      <c r="P2047" s="187"/>
      <c r="Q2047" s="187"/>
      <c r="R2047" s="187"/>
      <c r="S2047" s="188"/>
    </row>
    <row r="2048" spans="2:19" ht="12.75">
      <c r="B2048" s="185"/>
      <c r="C2048" s="186"/>
      <c r="D2048" s="187"/>
      <c r="E2048" s="187"/>
      <c r="F2048" s="187"/>
      <c r="G2048" s="187"/>
      <c r="H2048" s="187"/>
      <c r="I2048" s="187"/>
      <c r="J2048" s="187"/>
      <c r="K2048" s="187"/>
      <c r="L2048" s="187"/>
      <c r="M2048" s="187"/>
      <c r="N2048" s="187"/>
      <c r="O2048" s="187"/>
      <c r="P2048" s="187"/>
      <c r="Q2048" s="187"/>
      <c r="R2048" s="187"/>
      <c r="S2048" s="188"/>
    </row>
    <row r="2049" spans="2:19" ht="12.75">
      <c r="B2049" s="185"/>
      <c r="C2049" s="186"/>
      <c r="D2049" s="187"/>
      <c r="E2049" s="187"/>
      <c r="F2049" s="187"/>
      <c r="G2049" s="187"/>
      <c r="H2049" s="187"/>
      <c r="I2049" s="187"/>
      <c r="J2049" s="187"/>
      <c r="K2049" s="187"/>
      <c r="L2049" s="187"/>
      <c r="M2049" s="187"/>
      <c r="N2049" s="187"/>
      <c r="O2049" s="187"/>
      <c r="P2049" s="187"/>
      <c r="Q2049" s="187"/>
      <c r="R2049" s="187"/>
      <c r="S2049" s="188"/>
    </row>
    <row r="2050" spans="2:19" ht="12.75">
      <c r="B2050" s="185"/>
      <c r="C2050" s="186"/>
      <c r="D2050" s="187"/>
      <c r="E2050" s="187"/>
      <c r="F2050" s="187"/>
      <c r="G2050" s="187"/>
      <c r="H2050" s="187"/>
      <c r="I2050" s="187"/>
      <c r="J2050" s="187"/>
      <c r="K2050" s="187"/>
      <c r="L2050" s="187"/>
      <c r="M2050" s="187"/>
      <c r="N2050" s="187"/>
      <c r="O2050" s="187"/>
      <c r="P2050" s="187"/>
      <c r="Q2050" s="187"/>
      <c r="R2050" s="187"/>
      <c r="S2050" s="188"/>
    </row>
    <row r="2051" spans="2:19" ht="12.75">
      <c r="B2051" s="185"/>
      <c r="C2051" s="186"/>
      <c r="D2051" s="187"/>
      <c r="E2051" s="187"/>
      <c r="F2051" s="187"/>
      <c r="G2051" s="187"/>
      <c r="H2051" s="187"/>
      <c r="I2051" s="187"/>
      <c r="J2051" s="187"/>
      <c r="K2051" s="187"/>
      <c r="L2051" s="187"/>
      <c r="M2051" s="187"/>
      <c r="N2051" s="187"/>
      <c r="O2051" s="187"/>
      <c r="P2051" s="187"/>
      <c r="Q2051" s="187"/>
      <c r="R2051" s="187"/>
      <c r="S2051" s="188"/>
    </row>
    <row r="2052" spans="2:19" ht="12.75">
      <c r="B2052" s="185"/>
      <c r="C2052" s="186"/>
      <c r="D2052" s="187"/>
      <c r="E2052" s="187"/>
      <c r="F2052" s="187"/>
      <c r="G2052" s="187"/>
      <c r="H2052" s="187"/>
      <c r="I2052" s="187"/>
      <c r="J2052" s="187"/>
      <c r="K2052" s="187"/>
      <c r="L2052" s="187"/>
      <c r="M2052" s="187"/>
      <c r="N2052" s="187"/>
      <c r="O2052" s="187"/>
      <c r="P2052" s="187"/>
      <c r="Q2052" s="187"/>
      <c r="R2052" s="187"/>
      <c r="S2052" s="188"/>
    </row>
    <row r="2053" spans="2:19" ht="12.75">
      <c r="B2053" s="185"/>
      <c r="C2053" s="186"/>
      <c r="D2053" s="187"/>
      <c r="E2053" s="187"/>
      <c r="F2053" s="187"/>
      <c r="G2053" s="187"/>
      <c r="H2053" s="187"/>
      <c r="I2053" s="187"/>
      <c r="J2053" s="187"/>
      <c r="K2053" s="187"/>
      <c r="L2053" s="187"/>
      <c r="M2053" s="187"/>
      <c r="N2053" s="187"/>
      <c r="O2053" s="187"/>
      <c r="P2053" s="187"/>
      <c r="Q2053" s="187"/>
      <c r="R2053" s="187"/>
      <c r="S2053" s="188"/>
    </row>
    <row r="2054" spans="2:19" ht="12.75">
      <c r="B2054" s="185"/>
      <c r="C2054" s="186"/>
      <c r="D2054" s="187"/>
      <c r="E2054" s="187"/>
      <c r="F2054" s="187"/>
      <c r="G2054" s="187"/>
      <c r="H2054" s="187"/>
      <c r="I2054" s="187"/>
      <c r="J2054" s="187"/>
      <c r="K2054" s="187"/>
      <c r="L2054" s="187"/>
      <c r="M2054" s="187"/>
      <c r="N2054" s="187"/>
      <c r="O2054" s="187"/>
      <c r="P2054" s="187"/>
      <c r="Q2054" s="187"/>
      <c r="R2054" s="187"/>
      <c r="S2054" s="188"/>
    </row>
    <row r="2055" spans="2:19" ht="12.75">
      <c r="B2055" s="185"/>
      <c r="C2055" s="186"/>
      <c r="D2055" s="187"/>
      <c r="E2055" s="187"/>
      <c r="F2055" s="187"/>
      <c r="G2055" s="187"/>
      <c r="H2055" s="187"/>
      <c r="I2055" s="187"/>
      <c r="J2055" s="187"/>
      <c r="K2055" s="187"/>
      <c r="L2055" s="187"/>
      <c r="M2055" s="187"/>
      <c r="N2055" s="187"/>
      <c r="O2055" s="187"/>
      <c r="P2055" s="187"/>
      <c r="Q2055" s="187"/>
      <c r="R2055" s="187"/>
      <c r="S2055" s="188"/>
    </row>
    <row r="2056" spans="2:19" ht="12.75">
      <c r="B2056" s="185"/>
      <c r="C2056" s="186"/>
      <c r="D2056" s="187"/>
      <c r="E2056" s="187"/>
      <c r="F2056" s="187"/>
      <c r="G2056" s="187"/>
      <c r="H2056" s="187"/>
      <c r="I2056" s="187"/>
      <c r="J2056" s="187"/>
      <c r="K2056" s="187"/>
      <c r="L2056" s="187"/>
      <c r="M2056" s="187"/>
      <c r="N2056" s="187"/>
      <c r="O2056" s="187"/>
      <c r="P2056" s="187"/>
      <c r="Q2056" s="187"/>
      <c r="R2056" s="187"/>
      <c r="S2056" s="188"/>
    </row>
    <row r="2057" spans="2:19" ht="12.75">
      <c r="B2057" s="185"/>
      <c r="C2057" s="186"/>
      <c r="D2057" s="187"/>
      <c r="E2057" s="187"/>
      <c r="F2057" s="187"/>
      <c r="G2057" s="187"/>
      <c r="H2057" s="187"/>
      <c r="I2057" s="187"/>
      <c r="J2057" s="187"/>
      <c r="K2057" s="187"/>
      <c r="L2057" s="187"/>
      <c r="M2057" s="187"/>
      <c r="N2057" s="187"/>
      <c r="O2057" s="187"/>
      <c r="P2057" s="187"/>
      <c r="Q2057" s="187"/>
      <c r="R2057" s="187"/>
      <c r="S2057" s="188"/>
    </row>
    <row r="2058" spans="2:19" ht="12.75">
      <c r="B2058" s="185"/>
      <c r="C2058" s="186"/>
      <c r="D2058" s="187"/>
      <c r="E2058" s="187"/>
      <c r="F2058" s="187"/>
      <c r="G2058" s="187"/>
      <c r="H2058" s="187"/>
      <c r="I2058" s="187"/>
      <c r="J2058" s="187"/>
      <c r="K2058" s="187"/>
      <c r="L2058" s="187"/>
      <c r="M2058" s="187"/>
      <c r="N2058" s="187"/>
      <c r="O2058" s="187"/>
      <c r="P2058" s="187"/>
      <c r="Q2058" s="187"/>
      <c r="R2058" s="187"/>
      <c r="S2058" s="188"/>
    </row>
    <row r="2059" spans="2:19" ht="12.75">
      <c r="B2059" s="185"/>
      <c r="C2059" s="186"/>
      <c r="D2059" s="187"/>
      <c r="E2059" s="187"/>
      <c r="F2059" s="187"/>
      <c r="G2059" s="187"/>
      <c r="H2059" s="187"/>
      <c r="I2059" s="187"/>
      <c r="J2059" s="187"/>
      <c r="K2059" s="187"/>
      <c r="L2059" s="187"/>
      <c r="M2059" s="187"/>
      <c r="N2059" s="187"/>
      <c r="O2059" s="187"/>
      <c r="P2059" s="187"/>
      <c r="Q2059" s="187"/>
      <c r="R2059" s="187"/>
      <c r="S2059" s="188"/>
    </row>
    <row r="2060" spans="2:19" ht="12.75">
      <c r="B2060" s="185"/>
      <c r="C2060" s="186"/>
      <c r="D2060" s="187"/>
      <c r="E2060" s="187"/>
      <c r="F2060" s="187"/>
      <c r="G2060" s="187"/>
      <c r="H2060" s="187"/>
      <c r="I2060" s="187"/>
      <c r="J2060" s="187"/>
      <c r="K2060" s="187"/>
      <c r="L2060" s="187"/>
      <c r="M2060" s="187"/>
      <c r="N2060" s="187"/>
      <c r="O2060" s="187"/>
      <c r="P2060" s="187"/>
      <c r="Q2060" s="187"/>
      <c r="R2060" s="187"/>
      <c r="S2060" s="188"/>
    </row>
    <row r="2061" spans="2:19" ht="12.75">
      <c r="B2061" s="185"/>
      <c r="C2061" s="186"/>
      <c r="D2061" s="187"/>
      <c r="E2061" s="187"/>
      <c r="F2061" s="187"/>
      <c r="G2061" s="187"/>
      <c r="H2061" s="187"/>
      <c r="I2061" s="187"/>
      <c r="J2061" s="187"/>
      <c r="K2061" s="187"/>
      <c r="L2061" s="187"/>
      <c r="M2061" s="187"/>
      <c r="N2061" s="187"/>
      <c r="O2061" s="187"/>
      <c r="P2061" s="187"/>
      <c r="Q2061" s="187"/>
      <c r="R2061" s="187"/>
      <c r="S2061" s="188"/>
    </row>
    <row r="2062" spans="2:19" ht="12.75">
      <c r="B2062" s="185"/>
      <c r="C2062" s="186"/>
      <c r="D2062" s="187"/>
      <c r="E2062" s="187"/>
      <c r="F2062" s="187"/>
      <c r="G2062" s="187"/>
      <c r="H2062" s="187"/>
      <c r="I2062" s="187"/>
      <c r="J2062" s="187"/>
      <c r="K2062" s="187"/>
      <c r="L2062" s="187"/>
      <c r="M2062" s="187"/>
      <c r="N2062" s="187"/>
      <c r="O2062" s="187"/>
      <c r="P2062" s="187"/>
      <c r="Q2062" s="187"/>
      <c r="R2062" s="187"/>
      <c r="S2062" s="188"/>
    </row>
    <row r="2063" spans="2:19" ht="12.75">
      <c r="B2063" s="185"/>
      <c r="C2063" s="186"/>
      <c r="D2063" s="187"/>
      <c r="E2063" s="187"/>
      <c r="F2063" s="187"/>
      <c r="G2063" s="187"/>
      <c r="H2063" s="187"/>
      <c r="I2063" s="187"/>
      <c r="J2063" s="187"/>
      <c r="K2063" s="187"/>
      <c r="L2063" s="187"/>
      <c r="M2063" s="187"/>
      <c r="N2063" s="187"/>
      <c r="O2063" s="187"/>
      <c r="P2063" s="187"/>
      <c r="Q2063" s="187"/>
      <c r="R2063" s="187"/>
      <c r="S2063" s="188"/>
    </row>
    <row r="2064" spans="2:19" ht="12.75">
      <c r="B2064" s="185"/>
      <c r="C2064" s="186"/>
      <c r="D2064" s="187"/>
      <c r="E2064" s="187"/>
      <c r="F2064" s="187"/>
      <c r="G2064" s="187"/>
      <c r="H2064" s="187"/>
      <c r="I2064" s="187"/>
      <c r="J2064" s="187"/>
      <c r="K2064" s="187"/>
      <c r="L2064" s="187"/>
      <c r="M2064" s="187"/>
      <c r="N2064" s="187"/>
      <c r="O2064" s="187"/>
      <c r="P2064" s="187"/>
      <c r="Q2064" s="187"/>
      <c r="R2064" s="187"/>
      <c r="S2064" s="188"/>
    </row>
    <row r="2065" spans="2:19" ht="12.75">
      <c r="B2065" s="185"/>
      <c r="C2065" s="186"/>
      <c r="D2065" s="187"/>
      <c r="E2065" s="187"/>
      <c r="F2065" s="187"/>
      <c r="G2065" s="187"/>
      <c r="H2065" s="187"/>
      <c r="I2065" s="187"/>
      <c r="J2065" s="187"/>
      <c r="K2065" s="187"/>
      <c r="L2065" s="187"/>
      <c r="M2065" s="187"/>
      <c r="N2065" s="187"/>
      <c r="O2065" s="187"/>
      <c r="P2065" s="187"/>
      <c r="Q2065" s="187"/>
      <c r="R2065" s="187"/>
      <c r="S2065" s="188"/>
    </row>
    <row r="2066" spans="2:19" ht="12.75">
      <c r="B2066" s="185"/>
      <c r="C2066" s="186"/>
      <c r="D2066" s="187"/>
      <c r="E2066" s="187"/>
      <c r="F2066" s="187"/>
      <c r="G2066" s="187"/>
      <c r="H2066" s="187"/>
      <c r="I2066" s="187"/>
      <c r="J2066" s="187"/>
      <c r="K2066" s="187"/>
      <c r="L2066" s="187"/>
      <c r="M2066" s="187"/>
      <c r="N2066" s="187"/>
      <c r="O2066" s="187"/>
      <c r="P2066" s="187"/>
      <c r="Q2066" s="187"/>
      <c r="R2066" s="187"/>
      <c r="S2066" s="188"/>
    </row>
    <row r="2067" spans="2:19" ht="12.75">
      <c r="B2067" s="185"/>
      <c r="C2067" s="186"/>
      <c r="D2067" s="187"/>
      <c r="E2067" s="187"/>
      <c r="F2067" s="187"/>
      <c r="G2067" s="187"/>
      <c r="H2067" s="187"/>
      <c r="I2067" s="187"/>
      <c r="J2067" s="187"/>
      <c r="K2067" s="187"/>
      <c r="L2067" s="187"/>
      <c r="M2067" s="187"/>
      <c r="N2067" s="187"/>
      <c r="O2067" s="187"/>
      <c r="P2067" s="187"/>
      <c r="Q2067" s="187"/>
      <c r="R2067" s="187"/>
      <c r="S2067" s="188"/>
    </row>
    <row r="2068" spans="2:19" ht="12.75">
      <c r="B2068" s="185"/>
      <c r="C2068" s="186"/>
      <c r="D2068" s="187"/>
      <c r="E2068" s="187"/>
      <c r="F2068" s="187"/>
      <c r="G2068" s="187"/>
      <c r="H2068" s="187"/>
      <c r="I2068" s="187"/>
      <c r="J2068" s="187"/>
      <c r="K2068" s="187"/>
      <c r="L2068" s="187"/>
      <c r="M2068" s="187"/>
      <c r="N2068" s="187"/>
      <c r="O2068" s="187"/>
      <c r="P2068" s="187"/>
      <c r="Q2068" s="187"/>
      <c r="R2068" s="187"/>
      <c r="S2068" s="188"/>
    </row>
    <row r="2069" spans="2:19" ht="12.75">
      <c r="B2069" s="185"/>
      <c r="C2069" s="186"/>
      <c r="D2069" s="187"/>
      <c r="E2069" s="187"/>
      <c r="F2069" s="187"/>
      <c r="G2069" s="187"/>
      <c r="H2069" s="187"/>
      <c r="I2069" s="187"/>
      <c r="J2069" s="187"/>
      <c r="K2069" s="187"/>
      <c r="L2069" s="187"/>
      <c r="M2069" s="187"/>
      <c r="N2069" s="187"/>
      <c r="O2069" s="187"/>
      <c r="P2069" s="187"/>
      <c r="Q2069" s="187"/>
      <c r="R2069" s="187"/>
      <c r="S2069" s="188"/>
    </row>
    <row r="2070" spans="2:19" ht="12.75">
      <c r="B2070" s="185"/>
      <c r="C2070" s="186"/>
      <c r="D2070" s="187"/>
      <c r="E2070" s="187"/>
      <c r="F2070" s="187"/>
      <c r="G2070" s="187"/>
      <c r="H2070" s="187"/>
      <c r="I2070" s="187"/>
      <c r="J2070" s="187"/>
      <c r="K2070" s="187"/>
      <c r="L2070" s="187"/>
      <c r="M2070" s="187"/>
      <c r="N2070" s="187"/>
      <c r="O2070" s="187"/>
      <c r="P2070" s="187"/>
      <c r="Q2070" s="187"/>
      <c r="R2070" s="187"/>
      <c r="S2070" s="188"/>
    </row>
    <row r="2071" spans="2:19" ht="12.75">
      <c r="B2071" s="185"/>
      <c r="C2071" s="186"/>
      <c r="D2071" s="187"/>
      <c r="E2071" s="187"/>
      <c r="F2071" s="187"/>
      <c r="G2071" s="187"/>
      <c r="H2071" s="187"/>
      <c r="I2071" s="187"/>
      <c r="J2071" s="187"/>
      <c r="K2071" s="187"/>
      <c r="L2071" s="187"/>
      <c r="M2071" s="187"/>
      <c r="N2071" s="187"/>
      <c r="O2071" s="187"/>
      <c r="P2071" s="187"/>
      <c r="Q2071" s="187"/>
      <c r="R2071" s="187"/>
      <c r="S2071" s="188"/>
    </row>
    <row r="2072" spans="2:19" ht="12.75">
      <c r="B2072" s="185"/>
      <c r="C2072" s="186"/>
      <c r="D2072" s="187"/>
      <c r="E2072" s="187"/>
      <c r="F2072" s="187"/>
      <c r="G2072" s="187"/>
      <c r="H2072" s="187"/>
      <c r="I2072" s="187"/>
      <c r="J2072" s="187"/>
      <c r="K2072" s="187"/>
      <c r="L2072" s="187"/>
      <c r="M2072" s="187"/>
      <c r="N2072" s="187"/>
      <c r="O2072" s="187"/>
      <c r="P2072" s="187"/>
      <c r="Q2072" s="187"/>
      <c r="R2072" s="187"/>
      <c r="S2072" s="188"/>
    </row>
    <row r="2073" spans="2:19" ht="12.75">
      <c r="B2073" s="185"/>
      <c r="C2073" s="186"/>
      <c r="D2073" s="187"/>
      <c r="E2073" s="187"/>
      <c r="F2073" s="187"/>
      <c r="G2073" s="187"/>
      <c r="H2073" s="187"/>
      <c r="I2073" s="187"/>
      <c r="J2073" s="187"/>
      <c r="K2073" s="187"/>
      <c r="L2073" s="187"/>
      <c r="M2073" s="187"/>
      <c r="N2073" s="187"/>
      <c r="O2073" s="187"/>
      <c r="P2073" s="187"/>
      <c r="Q2073" s="187"/>
      <c r="R2073" s="187"/>
      <c r="S2073" s="188"/>
    </row>
    <row r="2074" spans="2:19" ht="12.75">
      <c r="B2074" s="185"/>
      <c r="C2074" s="186"/>
      <c r="D2074" s="187"/>
      <c r="E2074" s="187"/>
      <c r="F2074" s="187"/>
      <c r="G2074" s="187"/>
      <c r="H2074" s="187"/>
      <c r="I2074" s="187"/>
      <c r="J2074" s="187"/>
      <c r="K2074" s="187"/>
      <c r="L2074" s="187"/>
      <c r="M2074" s="187"/>
      <c r="N2074" s="187"/>
      <c r="O2074" s="187"/>
      <c r="P2074" s="187"/>
      <c r="Q2074" s="187"/>
      <c r="R2074" s="187"/>
      <c r="S2074" s="188"/>
    </row>
    <row r="2075" spans="2:19" ht="12.75">
      <c r="B2075" s="185"/>
      <c r="C2075" s="186"/>
      <c r="D2075" s="187"/>
      <c r="E2075" s="187"/>
      <c r="F2075" s="187"/>
      <c r="G2075" s="187"/>
      <c r="H2075" s="187"/>
      <c r="I2075" s="187"/>
      <c r="J2075" s="187"/>
      <c r="K2075" s="187"/>
      <c r="L2075" s="187"/>
      <c r="M2075" s="187"/>
      <c r="N2075" s="187"/>
      <c r="O2075" s="187"/>
      <c r="P2075" s="187"/>
      <c r="Q2075" s="187"/>
      <c r="R2075" s="187"/>
      <c r="S2075" s="188"/>
    </row>
    <row r="2076" spans="2:19" ht="12.75">
      <c r="B2076" s="185"/>
      <c r="C2076" s="186"/>
      <c r="D2076" s="187"/>
      <c r="E2076" s="187"/>
      <c r="F2076" s="187"/>
      <c r="G2076" s="187"/>
      <c r="H2076" s="187"/>
      <c r="I2076" s="187"/>
      <c r="J2076" s="187"/>
      <c r="K2076" s="187"/>
      <c r="L2076" s="187"/>
      <c r="M2076" s="187"/>
      <c r="N2076" s="187"/>
      <c r="O2076" s="187"/>
      <c r="P2076" s="187"/>
      <c r="Q2076" s="187"/>
      <c r="R2076" s="187"/>
      <c r="S2076" s="188"/>
    </row>
    <row r="2077" spans="2:19" ht="12.75">
      <c r="B2077" s="185"/>
      <c r="C2077" s="186"/>
      <c r="D2077" s="187"/>
      <c r="E2077" s="187"/>
      <c r="F2077" s="187"/>
      <c r="G2077" s="187"/>
      <c r="H2077" s="187"/>
      <c r="I2077" s="187"/>
      <c r="J2077" s="187"/>
      <c r="K2077" s="187"/>
      <c r="L2077" s="187"/>
      <c r="M2077" s="187"/>
      <c r="N2077" s="187"/>
      <c r="O2077" s="187"/>
      <c r="P2077" s="187"/>
      <c r="Q2077" s="187"/>
      <c r="R2077" s="187"/>
      <c r="S2077" s="188"/>
    </row>
    <row r="2078" spans="2:19" ht="12.75">
      <c r="B2078" s="185"/>
      <c r="C2078" s="186"/>
      <c r="D2078" s="187"/>
      <c r="E2078" s="187"/>
      <c r="F2078" s="187"/>
      <c r="G2078" s="187"/>
      <c r="H2078" s="187"/>
      <c r="I2078" s="187"/>
      <c r="J2078" s="187"/>
      <c r="K2078" s="187"/>
      <c r="L2078" s="187"/>
      <c r="M2078" s="187"/>
      <c r="N2078" s="187"/>
      <c r="O2078" s="187"/>
      <c r="P2078" s="187"/>
      <c r="Q2078" s="187"/>
      <c r="R2078" s="187"/>
      <c r="S2078" s="188"/>
    </row>
    <row r="2079" spans="2:19" ht="12.75">
      <c r="B2079" s="185"/>
      <c r="C2079" s="186"/>
      <c r="D2079" s="187"/>
      <c r="E2079" s="187"/>
      <c r="F2079" s="187"/>
      <c r="G2079" s="187"/>
      <c r="H2079" s="187"/>
      <c r="I2079" s="187"/>
      <c r="J2079" s="187"/>
      <c r="K2079" s="187"/>
      <c r="L2079" s="187"/>
      <c r="M2079" s="187"/>
      <c r="N2079" s="187"/>
      <c r="O2079" s="187"/>
      <c r="P2079" s="187"/>
      <c r="Q2079" s="187"/>
      <c r="R2079" s="187"/>
      <c r="S2079" s="188"/>
    </row>
    <row r="2080" spans="2:19" ht="12.75">
      <c r="B2080" s="185"/>
      <c r="C2080" s="186"/>
      <c r="D2080" s="187"/>
      <c r="E2080" s="187"/>
      <c r="F2080" s="187"/>
      <c r="G2080" s="187"/>
      <c r="H2080" s="187"/>
      <c r="I2080" s="187"/>
      <c r="J2080" s="187"/>
      <c r="K2080" s="187"/>
      <c r="L2080" s="187"/>
      <c r="M2080" s="187"/>
      <c r="N2080" s="187"/>
      <c r="O2080" s="187"/>
      <c r="P2080" s="187"/>
      <c r="Q2080" s="187"/>
      <c r="R2080" s="187"/>
      <c r="S2080" s="188"/>
    </row>
    <row r="2081" spans="2:19" ht="12.75">
      <c r="B2081" s="185"/>
      <c r="C2081" s="186"/>
      <c r="D2081" s="187"/>
      <c r="E2081" s="187"/>
      <c r="F2081" s="187"/>
      <c r="G2081" s="187"/>
      <c r="H2081" s="187"/>
      <c r="I2081" s="187"/>
      <c r="J2081" s="187"/>
      <c r="K2081" s="187"/>
      <c r="L2081" s="187"/>
      <c r="M2081" s="187"/>
      <c r="N2081" s="187"/>
      <c r="O2081" s="187"/>
      <c r="P2081" s="187"/>
      <c r="Q2081" s="187"/>
      <c r="R2081" s="187"/>
      <c r="S2081" s="188"/>
    </row>
    <row r="2082" spans="2:19" ht="12.75">
      <c r="B2082" s="185"/>
      <c r="C2082" s="186"/>
      <c r="D2082" s="187"/>
      <c r="E2082" s="187"/>
      <c r="F2082" s="187"/>
      <c r="G2082" s="187"/>
      <c r="H2082" s="187"/>
      <c r="I2082" s="187"/>
      <c r="J2082" s="187"/>
      <c r="K2082" s="187"/>
      <c r="L2082" s="187"/>
      <c r="M2082" s="187"/>
      <c r="N2082" s="187"/>
      <c r="O2082" s="187"/>
      <c r="P2082" s="187"/>
      <c r="Q2082" s="187"/>
      <c r="R2082" s="187"/>
      <c r="S2082" s="188"/>
    </row>
    <row r="2083" spans="2:19" ht="12.75">
      <c r="B2083" s="185"/>
      <c r="C2083" s="186"/>
      <c r="D2083" s="187"/>
      <c r="E2083" s="187"/>
      <c r="F2083" s="187"/>
      <c r="G2083" s="187"/>
      <c r="H2083" s="187"/>
      <c r="I2083" s="187"/>
      <c r="J2083" s="187"/>
      <c r="K2083" s="187"/>
      <c r="L2083" s="187"/>
      <c r="M2083" s="187"/>
      <c r="N2083" s="187"/>
      <c r="O2083" s="187"/>
      <c r="P2083" s="187"/>
      <c r="Q2083" s="187"/>
      <c r="R2083" s="187"/>
      <c r="S2083" s="188"/>
    </row>
    <row r="2084" spans="2:19" ht="12.75">
      <c r="B2084" s="185"/>
      <c r="C2084" s="186"/>
      <c r="D2084" s="187"/>
      <c r="E2084" s="187"/>
      <c r="F2084" s="187"/>
      <c r="G2084" s="187"/>
      <c r="H2084" s="187"/>
      <c r="I2084" s="187"/>
      <c r="J2084" s="187"/>
      <c r="K2084" s="187"/>
      <c r="L2084" s="187"/>
      <c r="M2084" s="187"/>
      <c r="N2084" s="187"/>
      <c r="O2084" s="187"/>
      <c r="P2084" s="187"/>
      <c r="Q2084" s="187"/>
      <c r="R2084" s="187"/>
      <c r="S2084" s="188"/>
    </row>
    <row r="2085" spans="2:19" ht="12.75">
      <c r="B2085" s="185"/>
      <c r="C2085" s="186"/>
      <c r="D2085" s="187"/>
      <c r="E2085" s="187"/>
      <c r="F2085" s="187"/>
      <c r="G2085" s="187"/>
      <c r="H2085" s="187"/>
      <c r="I2085" s="187"/>
      <c r="J2085" s="187"/>
      <c r="K2085" s="187"/>
      <c r="L2085" s="187"/>
      <c r="M2085" s="187"/>
      <c r="N2085" s="187"/>
      <c r="O2085" s="187"/>
      <c r="P2085" s="187"/>
      <c r="Q2085" s="187"/>
      <c r="R2085" s="187"/>
      <c r="S2085" s="188"/>
    </row>
    <row r="2086" spans="2:19" ht="12.75">
      <c r="B2086" s="185"/>
      <c r="C2086" s="186"/>
      <c r="D2086" s="187"/>
      <c r="E2086" s="187"/>
      <c r="F2086" s="187"/>
      <c r="G2086" s="187"/>
      <c r="H2086" s="187"/>
      <c r="I2086" s="187"/>
      <c r="J2086" s="187"/>
      <c r="K2086" s="187"/>
      <c r="L2086" s="187"/>
      <c r="M2086" s="187"/>
      <c r="N2086" s="187"/>
      <c r="O2086" s="187"/>
      <c r="P2086" s="187"/>
      <c r="Q2086" s="187"/>
      <c r="R2086" s="187"/>
      <c r="S2086" s="188"/>
    </row>
    <row r="2087" spans="2:19" ht="12.75">
      <c r="B2087" s="185"/>
      <c r="C2087" s="186"/>
      <c r="D2087" s="187"/>
      <c r="E2087" s="187"/>
      <c r="F2087" s="187"/>
      <c r="G2087" s="187"/>
      <c r="H2087" s="187"/>
      <c r="I2087" s="187"/>
      <c r="J2087" s="187"/>
      <c r="K2087" s="187"/>
      <c r="L2087" s="187"/>
      <c r="M2087" s="187"/>
      <c r="N2087" s="187"/>
      <c r="O2087" s="187"/>
      <c r="P2087" s="187"/>
      <c r="Q2087" s="187"/>
      <c r="R2087" s="187"/>
      <c r="S2087" s="188"/>
    </row>
    <row r="2088" spans="2:19" ht="12.75">
      <c r="B2088" s="185"/>
      <c r="C2088" s="186"/>
      <c r="D2088" s="187"/>
      <c r="E2088" s="187"/>
      <c r="F2088" s="187"/>
      <c r="G2088" s="187"/>
      <c r="H2088" s="187"/>
      <c r="I2088" s="187"/>
      <c r="J2088" s="187"/>
      <c r="K2088" s="187"/>
      <c r="L2088" s="187"/>
      <c r="M2088" s="187"/>
      <c r="N2088" s="187"/>
      <c r="O2088" s="187"/>
      <c r="P2088" s="187"/>
      <c r="Q2088" s="187"/>
      <c r="R2088" s="187"/>
      <c r="S2088" s="188"/>
    </row>
    <row r="2089" spans="2:19" ht="12.75">
      <c r="B2089" s="185"/>
      <c r="C2089" s="186"/>
      <c r="D2089" s="187"/>
      <c r="E2089" s="187"/>
      <c r="F2089" s="187"/>
      <c r="G2089" s="187"/>
      <c r="H2089" s="187"/>
      <c r="I2089" s="187"/>
      <c r="J2089" s="187"/>
      <c r="K2089" s="187"/>
      <c r="L2089" s="187"/>
      <c r="M2089" s="187"/>
      <c r="N2089" s="187"/>
      <c r="O2089" s="187"/>
      <c r="P2089" s="187"/>
      <c r="Q2089" s="187"/>
      <c r="R2089" s="187"/>
      <c r="S2089" s="188"/>
    </row>
    <row r="2090" spans="2:19" ht="12.75">
      <c r="B2090" s="185"/>
      <c r="C2090" s="186"/>
      <c r="D2090" s="187"/>
      <c r="E2090" s="187"/>
      <c r="F2090" s="187"/>
      <c r="G2090" s="187"/>
      <c r="H2090" s="187"/>
      <c r="I2090" s="187"/>
      <c r="J2090" s="187"/>
      <c r="K2090" s="187"/>
      <c r="L2090" s="187"/>
      <c r="M2090" s="187"/>
      <c r="N2090" s="187"/>
      <c r="O2090" s="187"/>
      <c r="P2090" s="187"/>
      <c r="Q2090" s="187"/>
      <c r="R2090" s="187"/>
      <c r="S2090" s="188"/>
    </row>
    <row r="2091" spans="2:19" ht="12.75">
      <c r="B2091" s="185"/>
      <c r="C2091" s="186"/>
      <c r="D2091" s="187"/>
      <c r="E2091" s="187"/>
      <c r="F2091" s="187"/>
      <c r="G2091" s="187"/>
      <c r="H2091" s="187"/>
      <c r="I2091" s="187"/>
      <c r="J2091" s="187"/>
      <c r="K2091" s="187"/>
      <c r="L2091" s="187"/>
      <c r="M2091" s="187"/>
      <c r="N2091" s="187"/>
      <c r="O2091" s="187"/>
      <c r="P2091" s="187"/>
      <c r="Q2091" s="187"/>
      <c r="R2091" s="187"/>
      <c r="S2091" s="188"/>
    </row>
    <row r="2092" spans="2:19" ht="12.75">
      <c r="B2092" s="185"/>
      <c r="C2092" s="186"/>
      <c r="D2092" s="187"/>
      <c r="E2092" s="187"/>
      <c r="F2092" s="187"/>
      <c r="G2092" s="187"/>
      <c r="H2092" s="187"/>
      <c r="I2092" s="187"/>
      <c r="J2092" s="187"/>
      <c r="K2092" s="187"/>
      <c r="L2092" s="187"/>
      <c r="M2092" s="187"/>
      <c r="N2092" s="187"/>
      <c r="O2092" s="187"/>
      <c r="P2092" s="187"/>
      <c r="Q2092" s="187"/>
      <c r="R2092" s="187"/>
      <c r="S2092" s="188"/>
    </row>
    <row r="2093" spans="2:19" ht="12.75">
      <c r="B2093" s="185"/>
      <c r="C2093" s="186"/>
      <c r="D2093" s="187"/>
      <c r="E2093" s="187"/>
      <c r="F2093" s="187"/>
      <c r="G2093" s="187"/>
      <c r="H2093" s="187"/>
      <c r="I2093" s="187"/>
      <c r="J2093" s="187"/>
      <c r="K2093" s="187"/>
      <c r="L2093" s="187"/>
      <c r="M2093" s="187"/>
      <c r="N2093" s="187"/>
      <c r="O2093" s="187"/>
      <c r="P2093" s="187"/>
      <c r="Q2093" s="187"/>
      <c r="R2093" s="187"/>
      <c r="S2093" s="188"/>
    </row>
    <row r="2094" spans="2:19" ht="12.75">
      <c r="B2094" s="185"/>
      <c r="C2094" s="186"/>
      <c r="D2094" s="187"/>
      <c r="E2094" s="187"/>
      <c r="F2094" s="187"/>
      <c r="G2094" s="187"/>
      <c r="H2094" s="187"/>
      <c r="I2094" s="187"/>
      <c r="J2094" s="187"/>
      <c r="K2094" s="187"/>
      <c r="L2094" s="187"/>
      <c r="M2094" s="187"/>
      <c r="N2094" s="187"/>
      <c r="O2094" s="187"/>
      <c r="P2094" s="187"/>
      <c r="Q2094" s="187"/>
      <c r="R2094" s="187"/>
      <c r="S2094" s="188"/>
    </row>
    <row r="2095" spans="2:19" ht="12.75">
      <c r="B2095" s="185"/>
      <c r="C2095" s="186"/>
      <c r="D2095" s="187"/>
      <c r="E2095" s="187"/>
      <c r="F2095" s="187"/>
      <c r="G2095" s="187"/>
      <c r="H2095" s="187"/>
      <c r="I2095" s="187"/>
      <c r="J2095" s="187"/>
      <c r="K2095" s="187"/>
      <c r="L2095" s="187"/>
      <c r="M2095" s="187"/>
      <c r="N2095" s="187"/>
      <c r="O2095" s="187"/>
      <c r="P2095" s="187"/>
      <c r="Q2095" s="187"/>
      <c r="R2095" s="187"/>
      <c r="S2095" s="188"/>
    </row>
    <row r="2096" spans="2:19" ht="12.75">
      <c r="B2096" s="185"/>
      <c r="C2096" s="186"/>
      <c r="D2096" s="187"/>
      <c r="E2096" s="187"/>
      <c r="F2096" s="187"/>
      <c r="G2096" s="187"/>
      <c r="H2096" s="187"/>
      <c r="I2096" s="187"/>
      <c r="J2096" s="187"/>
      <c r="K2096" s="187"/>
      <c r="L2096" s="187"/>
      <c r="M2096" s="187"/>
      <c r="N2096" s="187"/>
      <c r="O2096" s="187"/>
      <c r="P2096" s="187"/>
      <c r="Q2096" s="187"/>
      <c r="R2096" s="187"/>
      <c r="S2096" s="188"/>
    </row>
    <row r="2097" spans="2:19" ht="12.75">
      <c r="B2097" s="185"/>
      <c r="C2097" s="186"/>
      <c r="D2097" s="187"/>
      <c r="E2097" s="187"/>
      <c r="F2097" s="187"/>
      <c r="G2097" s="187"/>
      <c r="H2097" s="187"/>
      <c r="I2097" s="187"/>
      <c r="J2097" s="187"/>
      <c r="K2097" s="187"/>
      <c r="L2097" s="187"/>
      <c r="M2097" s="187"/>
      <c r="N2097" s="187"/>
      <c r="O2097" s="187"/>
      <c r="P2097" s="187"/>
      <c r="Q2097" s="187"/>
      <c r="R2097" s="187"/>
      <c r="S2097" s="188"/>
    </row>
    <row r="2098" spans="2:19" ht="12.75">
      <c r="B2098" s="185"/>
      <c r="C2098" s="186"/>
      <c r="D2098" s="187"/>
      <c r="E2098" s="187"/>
      <c r="F2098" s="187"/>
      <c r="G2098" s="187"/>
      <c r="H2098" s="187"/>
      <c r="I2098" s="187"/>
      <c r="J2098" s="187"/>
      <c r="K2098" s="187"/>
      <c r="L2098" s="187"/>
      <c r="M2098" s="187"/>
      <c r="N2098" s="187"/>
      <c r="O2098" s="187"/>
      <c r="P2098" s="187"/>
      <c r="Q2098" s="187"/>
      <c r="R2098" s="187"/>
      <c r="S2098" s="188"/>
    </row>
    <row r="2099" spans="2:19" ht="12.75">
      <c r="B2099" s="185"/>
      <c r="C2099" s="186"/>
      <c r="D2099" s="187"/>
      <c r="E2099" s="187"/>
      <c r="F2099" s="187"/>
      <c r="G2099" s="187"/>
      <c r="H2099" s="187"/>
      <c r="I2099" s="187"/>
      <c r="J2099" s="187"/>
      <c r="K2099" s="187"/>
      <c r="L2099" s="187"/>
      <c r="M2099" s="187"/>
      <c r="N2099" s="187"/>
      <c r="O2099" s="187"/>
      <c r="P2099" s="187"/>
      <c r="Q2099" s="187"/>
      <c r="R2099" s="187"/>
      <c r="S2099" s="188"/>
    </row>
    <row r="2100" spans="2:19" ht="12.75">
      <c r="B2100" s="185"/>
      <c r="C2100" s="186"/>
      <c r="D2100" s="187"/>
      <c r="E2100" s="187"/>
      <c r="F2100" s="187"/>
      <c r="G2100" s="187"/>
      <c r="H2100" s="187"/>
      <c r="I2100" s="187"/>
      <c r="J2100" s="187"/>
      <c r="K2100" s="187"/>
      <c r="L2100" s="187"/>
      <c r="M2100" s="187"/>
      <c r="N2100" s="187"/>
      <c r="O2100" s="187"/>
      <c r="P2100" s="187"/>
      <c r="Q2100" s="187"/>
      <c r="R2100" s="187"/>
      <c r="S2100" s="188"/>
    </row>
    <row r="2101" spans="2:19" ht="12.75">
      <c r="B2101" s="185"/>
      <c r="C2101" s="186"/>
      <c r="D2101" s="187"/>
      <c r="E2101" s="187"/>
      <c r="F2101" s="187"/>
      <c r="G2101" s="187"/>
      <c r="H2101" s="187"/>
      <c r="I2101" s="187"/>
      <c r="J2101" s="187"/>
      <c r="K2101" s="187"/>
      <c r="L2101" s="187"/>
      <c r="M2101" s="187"/>
      <c r="N2101" s="187"/>
      <c r="O2101" s="187"/>
      <c r="P2101" s="187"/>
      <c r="Q2101" s="187"/>
      <c r="R2101" s="187"/>
      <c r="S2101" s="188"/>
    </row>
    <row r="2102" spans="2:19" ht="12.75">
      <c r="B2102" s="185"/>
      <c r="C2102" s="186"/>
      <c r="D2102" s="187"/>
      <c r="E2102" s="187"/>
      <c r="F2102" s="187"/>
      <c r="G2102" s="187"/>
      <c r="H2102" s="187"/>
      <c r="I2102" s="187"/>
      <c r="J2102" s="187"/>
      <c r="K2102" s="187"/>
      <c r="L2102" s="187"/>
      <c r="M2102" s="187"/>
      <c r="N2102" s="187"/>
      <c r="O2102" s="187"/>
      <c r="P2102" s="187"/>
      <c r="Q2102" s="187"/>
      <c r="R2102" s="187"/>
      <c r="S2102" s="188"/>
    </row>
    <row r="2103" spans="2:19" ht="12.75">
      <c r="B2103" s="185"/>
      <c r="C2103" s="186"/>
      <c r="D2103" s="187"/>
      <c r="E2103" s="187"/>
      <c r="F2103" s="187"/>
      <c r="G2103" s="187"/>
      <c r="H2103" s="187"/>
      <c r="I2103" s="187"/>
      <c r="J2103" s="187"/>
      <c r="K2103" s="187"/>
      <c r="L2103" s="187"/>
      <c r="M2103" s="187"/>
      <c r="N2103" s="187"/>
      <c r="O2103" s="187"/>
      <c r="P2103" s="187"/>
      <c r="Q2103" s="187"/>
      <c r="R2103" s="187"/>
      <c r="S2103" s="188"/>
    </row>
    <row r="2104" spans="2:19" ht="12.75">
      <c r="B2104" s="185"/>
      <c r="C2104" s="186"/>
      <c r="D2104" s="187"/>
      <c r="E2104" s="187"/>
      <c r="F2104" s="187"/>
      <c r="G2104" s="187"/>
      <c r="H2104" s="187"/>
      <c r="I2104" s="187"/>
      <c r="J2104" s="187"/>
      <c r="K2104" s="187"/>
      <c r="L2104" s="187"/>
      <c r="M2104" s="187"/>
      <c r="N2104" s="187"/>
      <c r="O2104" s="187"/>
      <c r="P2104" s="187"/>
      <c r="Q2104" s="187"/>
      <c r="R2104" s="187"/>
      <c r="S2104" s="188"/>
    </row>
    <row r="2105" spans="2:19" ht="12.75">
      <c r="B2105" s="185"/>
      <c r="C2105" s="186"/>
      <c r="D2105" s="187"/>
      <c r="E2105" s="187"/>
      <c r="F2105" s="187"/>
      <c r="G2105" s="187"/>
      <c r="H2105" s="187"/>
      <c r="I2105" s="187"/>
      <c r="J2105" s="187"/>
      <c r="K2105" s="187"/>
      <c r="L2105" s="187"/>
      <c r="M2105" s="187"/>
      <c r="N2105" s="187"/>
      <c r="O2105" s="187"/>
      <c r="P2105" s="187"/>
      <c r="Q2105" s="187"/>
      <c r="R2105" s="187"/>
      <c r="S2105" s="188"/>
    </row>
    <row r="2106" spans="2:19" ht="12.75">
      <c r="B2106" s="185"/>
      <c r="C2106" s="186"/>
      <c r="D2106" s="187"/>
      <c r="E2106" s="187"/>
      <c r="F2106" s="187"/>
      <c r="G2106" s="187"/>
      <c r="H2106" s="187"/>
      <c r="I2106" s="187"/>
      <c r="J2106" s="187"/>
      <c r="K2106" s="187"/>
      <c r="L2106" s="187"/>
      <c r="M2106" s="187"/>
      <c r="N2106" s="187"/>
      <c r="O2106" s="187"/>
      <c r="P2106" s="187"/>
      <c r="Q2106" s="187"/>
      <c r="R2106" s="187"/>
      <c r="S2106" s="188"/>
    </row>
    <row r="2107" spans="2:19" ht="12.75">
      <c r="B2107" s="185"/>
      <c r="C2107" s="186"/>
      <c r="D2107" s="187"/>
      <c r="E2107" s="187"/>
      <c r="F2107" s="187"/>
      <c r="G2107" s="187"/>
      <c r="H2107" s="187"/>
      <c r="I2107" s="187"/>
      <c r="J2107" s="187"/>
      <c r="K2107" s="187"/>
      <c r="L2107" s="187"/>
      <c r="M2107" s="187"/>
      <c r="N2107" s="187"/>
      <c r="O2107" s="187"/>
      <c r="P2107" s="187"/>
      <c r="Q2107" s="187"/>
      <c r="R2107" s="187"/>
      <c r="S2107" s="188"/>
    </row>
    <row r="2108" spans="2:19" ht="12.75">
      <c r="B2108" s="185"/>
      <c r="C2108" s="186"/>
      <c r="D2108" s="187"/>
      <c r="E2108" s="187"/>
      <c r="F2108" s="187"/>
      <c r="G2108" s="187"/>
      <c r="H2108" s="187"/>
      <c r="I2108" s="187"/>
      <c r="J2108" s="187"/>
      <c r="K2108" s="187"/>
      <c r="L2108" s="187"/>
      <c r="M2108" s="187"/>
      <c r="N2108" s="187"/>
      <c r="O2108" s="187"/>
      <c r="P2108" s="187"/>
      <c r="Q2108" s="187"/>
      <c r="R2108" s="187"/>
      <c r="S2108" s="188"/>
    </row>
    <row r="2109" spans="2:19" ht="12.75">
      <c r="B2109" s="185"/>
      <c r="C2109" s="186"/>
      <c r="D2109" s="187"/>
      <c r="E2109" s="187"/>
      <c r="F2109" s="187"/>
      <c r="G2109" s="187"/>
      <c r="H2109" s="187"/>
      <c r="I2109" s="187"/>
      <c r="J2109" s="187"/>
      <c r="K2109" s="187"/>
      <c r="L2109" s="187"/>
      <c r="M2109" s="187"/>
      <c r="N2109" s="187"/>
      <c r="O2109" s="187"/>
      <c r="P2109" s="187"/>
      <c r="Q2109" s="187"/>
      <c r="R2109" s="187"/>
      <c r="S2109" s="188"/>
    </row>
    <row r="2110" spans="2:19" ht="12.75">
      <c r="B2110" s="185"/>
      <c r="C2110" s="186"/>
      <c r="D2110" s="187"/>
      <c r="E2110" s="187"/>
      <c r="F2110" s="187"/>
      <c r="G2110" s="187"/>
      <c r="H2110" s="187"/>
      <c r="I2110" s="187"/>
      <c r="J2110" s="187"/>
      <c r="K2110" s="187"/>
      <c r="L2110" s="187"/>
      <c r="M2110" s="187"/>
      <c r="N2110" s="187"/>
      <c r="O2110" s="187"/>
      <c r="P2110" s="187"/>
      <c r="Q2110" s="187"/>
      <c r="R2110" s="187"/>
      <c r="S2110" s="188"/>
    </row>
    <row r="2111" spans="2:19" ht="12.75">
      <c r="B2111" s="185"/>
      <c r="C2111" s="186"/>
      <c r="D2111" s="187"/>
      <c r="E2111" s="187"/>
      <c r="F2111" s="187"/>
      <c r="G2111" s="187"/>
      <c r="H2111" s="187"/>
      <c r="I2111" s="187"/>
      <c r="J2111" s="187"/>
      <c r="K2111" s="187"/>
      <c r="L2111" s="187"/>
      <c r="M2111" s="187"/>
      <c r="N2111" s="187"/>
      <c r="O2111" s="187"/>
      <c r="P2111" s="187"/>
      <c r="Q2111" s="187"/>
      <c r="R2111" s="187"/>
      <c r="S2111" s="188"/>
    </row>
    <row r="2112" spans="2:19" ht="12.75">
      <c r="B2112" s="185"/>
      <c r="C2112" s="186"/>
      <c r="D2112" s="187"/>
      <c r="E2112" s="187"/>
      <c r="F2112" s="187"/>
      <c r="G2112" s="187"/>
      <c r="H2112" s="187"/>
      <c r="I2112" s="187"/>
      <c r="J2112" s="187"/>
      <c r="K2112" s="187"/>
      <c r="L2112" s="187"/>
      <c r="M2112" s="187"/>
      <c r="N2112" s="187"/>
      <c r="O2112" s="187"/>
      <c r="P2112" s="187"/>
      <c r="Q2112" s="187"/>
      <c r="R2112" s="187"/>
      <c r="S2112" s="188"/>
    </row>
    <row r="2113" spans="2:19" ht="12.75">
      <c r="B2113" s="185"/>
      <c r="C2113" s="186"/>
      <c r="D2113" s="187"/>
      <c r="E2113" s="187"/>
      <c r="F2113" s="187"/>
      <c r="G2113" s="187"/>
      <c r="H2113" s="187"/>
      <c r="I2113" s="187"/>
      <c r="J2113" s="187"/>
      <c r="K2113" s="187"/>
      <c r="L2113" s="187"/>
      <c r="M2113" s="187"/>
      <c r="N2113" s="187"/>
      <c r="O2113" s="187"/>
      <c r="P2113" s="187"/>
      <c r="Q2113" s="187"/>
      <c r="R2113" s="187"/>
      <c r="S2113" s="188"/>
    </row>
    <row r="2114" spans="2:19" ht="12.75">
      <c r="B2114" s="185"/>
      <c r="C2114" s="186"/>
      <c r="D2114" s="187"/>
      <c r="E2114" s="187"/>
      <c r="F2114" s="187"/>
      <c r="G2114" s="187"/>
      <c r="H2114" s="187"/>
      <c r="I2114" s="187"/>
      <c r="J2114" s="187"/>
      <c r="K2114" s="187"/>
      <c r="L2114" s="187"/>
      <c r="M2114" s="187"/>
      <c r="N2114" s="187"/>
      <c r="O2114" s="187"/>
      <c r="P2114" s="187"/>
      <c r="Q2114" s="187"/>
      <c r="R2114" s="187"/>
      <c r="S2114" s="188"/>
    </row>
    <row r="2115" spans="2:19" ht="12.75">
      <c r="B2115" s="185"/>
      <c r="C2115" s="186"/>
      <c r="D2115" s="187"/>
      <c r="E2115" s="187"/>
      <c r="F2115" s="187"/>
      <c r="G2115" s="187"/>
      <c r="H2115" s="187"/>
      <c r="I2115" s="187"/>
      <c r="J2115" s="187"/>
      <c r="K2115" s="187"/>
      <c r="L2115" s="187"/>
      <c r="M2115" s="187"/>
      <c r="N2115" s="187"/>
      <c r="O2115" s="187"/>
      <c r="P2115" s="187"/>
      <c r="Q2115" s="187"/>
      <c r="R2115" s="187"/>
      <c r="S2115" s="188"/>
    </row>
    <row r="2116" spans="2:19" ht="12.75">
      <c r="B2116" s="185"/>
      <c r="C2116" s="186"/>
      <c r="D2116" s="187"/>
      <c r="E2116" s="187"/>
      <c r="F2116" s="187"/>
      <c r="G2116" s="187"/>
      <c r="H2116" s="187"/>
      <c r="I2116" s="187"/>
      <c r="J2116" s="187"/>
      <c r="K2116" s="187"/>
      <c r="L2116" s="187"/>
      <c r="M2116" s="187"/>
      <c r="N2116" s="187"/>
      <c r="O2116" s="187"/>
      <c r="P2116" s="187"/>
      <c r="Q2116" s="187"/>
      <c r="R2116" s="187"/>
      <c r="S2116" s="188"/>
    </row>
    <row r="2117" spans="2:19" ht="12.75">
      <c r="B2117" s="185"/>
      <c r="C2117" s="186"/>
      <c r="D2117" s="187"/>
      <c r="E2117" s="187"/>
      <c r="F2117" s="187"/>
      <c r="G2117" s="187"/>
      <c r="H2117" s="187"/>
      <c r="I2117" s="187"/>
      <c r="J2117" s="187"/>
      <c r="K2117" s="187"/>
      <c r="L2117" s="187"/>
      <c r="M2117" s="187"/>
      <c r="N2117" s="187"/>
      <c r="O2117" s="187"/>
      <c r="P2117" s="187"/>
      <c r="Q2117" s="187"/>
      <c r="R2117" s="187"/>
      <c r="S2117" s="188"/>
    </row>
    <row r="2118" spans="2:19" ht="12.75">
      <c r="B2118" s="185"/>
      <c r="C2118" s="186"/>
      <c r="D2118" s="187"/>
      <c r="E2118" s="187"/>
      <c r="F2118" s="187"/>
      <c r="G2118" s="187"/>
      <c r="H2118" s="187"/>
      <c r="I2118" s="187"/>
      <c r="J2118" s="187"/>
      <c r="K2118" s="187"/>
      <c r="L2118" s="187"/>
      <c r="M2118" s="187"/>
      <c r="N2118" s="187"/>
      <c r="O2118" s="187"/>
      <c r="P2118" s="187"/>
      <c r="Q2118" s="187"/>
      <c r="R2118" s="187"/>
      <c r="S2118" s="188"/>
    </row>
    <row r="2119" spans="2:19" ht="12.75">
      <c r="B2119" s="185"/>
      <c r="C2119" s="186"/>
      <c r="D2119" s="187"/>
      <c r="E2119" s="187"/>
      <c r="F2119" s="187"/>
      <c r="G2119" s="187"/>
      <c r="H2119" s="187"/>
      <c r="I2119" s="187"/>
      <c r="J2119" s="187"/>
      <c r="K2119" s="187"/>
      <c r="L2119" s="187"/>
      <c r="M2119" s="187"/>
      <c r="N2119" s="187"/>
      <c r="O2119" s="187"/>
      <c r="P2119" s="187"/>
      <c r="Q2119" s="187"/>
      <c r="R2119" s="187"/>
      <c r="S2119" s="188"/>
    </row>
    <row r="2120" spans="2:19" ht="12.75">
      <c r="B2120" s="185"/>
      <c r="C2120" s="186"/>
      <c r="D2120" s="187"/>
      <c r="E2120" s="187"/>
      <c r="F2120" s="187"/>
      <c r="G2120" s="187"/>
      <c r="H2120" s="187"/>
      <c r="I2120" s="187"/>
      <c r="J2120" s="187"/>
      <c r="K2120" s="187"/>
      <c r="L2120" s="187"/>
      <c r="M2120" s="187"/>
      <c r="N2120" s="187"/>
      <c r="O2120" s="187"/>
      <c r="P2120" s="187"/>
      <c r="Q2120" s="187"/>
      <c r="R2120" s="187"/>
      <c r="S2120" s="188"/>
    </row>
    <row r="2121" spans="2:19" ht="12.75">
      <c r="B2121" s="185"/>
      <c r="C2121" s="186"/>
      <c r="D2121" s="187"/>
      <c r="E2121" s="187"/>
      <c r="F2121" s="187"/>
      <c r="G2121" s="187"/>
      <c r="H2121" s="187"/>
      <c r="I2121" s="187"/>
      <c r="J2121" s="187"/>
      <c r="K2121" s="187"/>
      <c r="L2121" s="187"/>
      <c r="M2121" s="187"/>
      <c r="N2121" s="187"/>
      <c r="O2121" s="187"/>
      <c r="P2121" s="187"/>
      <c r="Q2121" s="187"/>
      <c r="R2121" s="187"/>
      <c r="S2121" s="188"/>
    </row>
    <row r="2122" spans="2:19" ht="12.75">
      <c r="B2122" s="185"/>
      <c r="C2122" s="186"/>
      <c r="D2122" s="187"/>
      <c r="E2122" s="187"/>
      <c r="F2122" s="187"/>
      <c r="G2122" s="187"/>
      <c r="H2122" s="187"/>
      <c r="I2122" s="187"/>
      <c r="J2122" s="187"/>
      <c r="K2122" s="187"/>
      <c r="L2122" s="187"/>
      <c r="M2122" s="187"/>
      <c r="N2122" s="187"/>
      <c r="O2122" s="187"/>
      <c r="P2122" s="187"/>
      <c r="Q2122" s="187"/>
      <c r="R2122" s="187"/>
      <c r="S2122" s="188"/>
    </row>
    <row r="2123" spans="2:19" ht="12.75">
      <c r="B2123" s="185"/>
      <c r="C2123" s="186"/>
      <c r="D2123" s="187"/>
      <c r="E2123" s="187"/>
      <c r="F2123" s="187"/>
      <c r="G2123" s="187"/>
      <c r="H2123" s="187"/>
      <c r="I2123" s="187"/>
      <c r="J2123" s="187"/>
      <c r="K2123" s="187"/>
      <c r="L2123" s="187"/>
      <c r="M2123" s="187"/>
      <c r="N2123" s="187"/>
      <c r="O2123" s="187"/>
      <c r="P2123" s="187"/>
      <c r="Q2123" s="187"/>
      <c r="R2123" s="187"/>
      <c r="S2123" s="188"/>
    </row>
    <row r="2124" spans="2:19" ht="12.75">
      <c r="B2124" s="185"/>
      <c r="C2124" s="186"/>
      <c r="D2124" s="187"/>
      <c r="E2124" s="187"/>
      <c r="F2124" s="187"/>
      <c r="G2124" s="187"/>
      <c r="H2124" s="187"/>
      <c r="I2124" s="187"/>
      <c r="J2124" s="187"/>
      <c r="K2124" s="187"/>
      <c r="L2124" s="187"/>
      <c r="M2124" s="187"/>
      <c r="N2124" s="187"/>
      <c r="O2124" s="187"/>
      <c r="P2124" s="187"/>
      <c r="Q2124" s="187"/>
      <c r="R2124" s="187"/>
      <c r="S2124" s="188"/>
    </row>
    <row r="2125" spans="2:19" ht="12.75">
      <c r="B2125" s="185"/>
      <c r="C2125" s="186"/>
      <c r="D2125" s="187"/>
      <c r="E2125" s="187"/>
      <c r="F2125" s="187"/>
      <c r="G2125" s="187"/>
      <c r="H2125" s="187"/>
      <c r="I2125" s="187"/>
      <c r="J2125" s="187"/>
      <c r="K2125" s="187"/>
      <c r="L2125" s="187"/>
      <c r="M2125" s="187"/>
      <c r="N2125" s="187"/>
      <c r="O2125" s="187"/>
      <c r="P2125" s="187"/>
      <c r="Q2125" s="187"/>
      <c r="R2125" s="187"/>
      <c r="S2125" s="188"/>
    </row>
    <row r="2126" spans="2:19" ht="12.75">
      <c r="B2126" s="185"/>
      <c r="C2126" s="186"/>
      <c r="D2126" s="187"/>
      <c r="E2126" s="187"/>
      <c r="F2126" s="187"/>
      <c r="G2126" s="187"/>
      <c r="H2126" s="187"/>
      <c r="I2126" s="187"/>
      <c r="J2126" s="187"/>
      <c r="K2126" s="187"/>
      <c r="L2126" s="187"/>
      <c r="M2126" s="187"/>
      <c r="N2126" s="187"/>
      <c r="O2126" s="187"/>
      <c r="P2126" s="187"/>
      <c r="Q2126" s="187"/>
      <c r="R2126" s="187"/>
      <c r="S2126" s="188"/>
    </row>
    <row r="2127" spans="2:19" ht="12.75">
      <c r="B2127" s="185"/>
      <c r="C2127" s="186"/>
      <c r="D2127" s="187"/>
      <c r="E2127" s="187"/>
      <c r="F2127" s="187"/>
      <c r="G2127" s="187"/>
      <c r="H2127" s="187"/>
      <c r="I2127" s="187"/>
      <c r="J2127" s="187"/>
      <c r="K2127" s="187"/>
      <c r="L2127" s="187"/>
      <c r="M2127" s="187"/>
      <c r="N2127" s="187"/>
      <c r="O2127" s="187"/>
      <c r="P2127" s="187"/>
      <c r="Q2127" s="187"/>
      <c r="R2127" s="187"/>
      <c r="S2127" s="188"/>
    </row>
    <row r="2128" spans="2:19" ht="12.75">
      <c r="B2128" s="185"/>
      <c r="C2128" s="186"/>
      <c r="D2128" s="187"/>
      <c r="E2128" s="187"/>
      <c r="F2128" s="187"/>
      <c r="G2128" s="187"/>
      <c r="H2128" s="187"/>
      <c r="I2128" s="187"/>
      <c r="J2128" s="187"/>
      <c r="K2128" s="187"/>
      <c r="L2128" s="187"/>
      <c r="M2128" s="187"/>
      <c r="N2128" s="187"/>
      <c r="O2128" s="187"/>
      <c r="P2128" s="187"/>
      <c r="Q2128" s="187"/>
      <c r="R2128" s="187"/>
      <c r="S2128" s="188"/>
    </row>
    <row r="2129" spans="2:19" ht="12.75">
      <c r="B2129" s="185"/>
      <c r="C2129" s="186"/>
      <c r="D2129" s="187"/>
      <c r="E2129" s="187"/>
      <c r="F2129" s="187"/>
      <c r="G2129" s="187"/>
      <c r="H2129" s="187"/>
      <c r="I2129" s="187"/>
      <c r="J2129" s="187"/>
      <c r="K2129" s="187"/>
      <c r="L2129" s="187"/>
      <c r="M2129" s="187"/>
      <c r="N2129" s="187"/>
      <c r="O2129" s="187"/>
      <c r="P2129" s="187"/>
      <c r="Q2129" s="187"/>
      <c r="R2129" s="187"/>
      <c r="S2129" s="188"/>
    </row>
    <row r="2130" spans="2:19" ht="12.75">
      <c r="B2130" s="185"/>
      <c r="C2130" s="186"/>
      <c r="D2130" s="187"/>
      <c r="E2130" s="187"/>
      <c r="F2130" s="187"/>
      <c r="G2130" s="187"/>
      <c r="H2130" s="187"/>
      <c r="I2130" s="187"/>
      <c r="J2130" s="187"/>
      <c r="K2130" s="187"/>
      <c r="L2130" s="187"/>
      <c r="M2130" s="187"/>
      <c r="N2130" s="187"/>
      <c r="O2130" s="187"/>
      <c r="P2130" s="187"/>
      <c r="Q2130" s="187"/>
      <c r="R2130" s="187"/>
      <c r="S2130" s="188"/>
    </row>
    <row r="2131" spans="2:19" ht="12.75">
      <c r="B2131" s="185"/>
      <c r="C2131" s="186"/>
      <c r="D2131" s="187"/>
      <c r="E2131" s="187"/>
      <c r="F2131" s="187"/>
      <c r="G2131" s="187"/>
      <c r="H2131" s="187"/>
      <c r="I2131" s="187"/>
      <c r="J2131" s="187"/>
      <c r="K2131" s="187"/>
      <c r="L2131" s="187"/>
      <c r="M2131" s="187"/>
      <c r="N2131" s="187"/>
      <c r="O2131" s="187"/>
      <c r="P2131" s="187"/>
      <c r="Q2131" s="187"/>
      <c r="R2131" s="187"/>
      <c r="S2131" s="188"/>
    </row>
    <row r="2132" spans="2:19" ht="12.75">
      <c r="B2132" s="185"/>
      <c r="C2132" s="186"/>
      <c r="D2132" s="187"/>
      <c r="E2132" s="187"/>
      <c r="F2132" s="187"/>
      <c r="G2132" s="187"/>
      <c r="H2132" s="187"/>
      <c r="I2132" s="187"/>
      <c r="J2132" s="187"/>
      <c r="K2132" s="187"/>
      <c r="L2132" s="187"/>
      <c r="M2132" s="187"/>
      <c r="N2132" s="187"/>
      <c r="O2132" s="187"/>
      <c r="P2132" s="187"/>
      <c r="Q2132" s="187"/>
      <c r="R2132" s="187"/>
      <c r="S2132" s="188"/>
    </row>
    <row r="2133" spans="2:19" ht="12.75">
      <c r="B2133" s="185"/>
      <c r="C2133" s="186"/>
      <c r="D2133" s="187"/>
      <c r="E2133" s="187"/>
      <c r="F2133" s="187"/>
      <c r="G2133" s="187"/>
      <c r="H2133" s="187"/>
      <c r="I2133" s="187"/>
      <c r="J2133" s="187"/>
      <c r="K2133" s="187"/>
      <c r="L2133" s="187"/>
      <c r="M2133" s="187"/>
      <c r="N2133" s="187"/>
      <c r="O2133" s="187"/>
      <c r="P2133" s="187"/>
      <c r="Q2133" s="187"/>
      <c r="R2133" s="187"/>
      <c r="S2133" s="188"/>
    </row>
    <row r="2134" spans="2:19" ht="12.75">
      <c r="B2134" s="185"/>
      <c r="C2134" s="186"/>
      <c r="D2134" s="187"/>
      <c r="E2134" s="187"/>
      <c r="F2134" s="187"/>
      <c r="G2134" s="187"/>
      <c r="H2134" s="187"/>
      <c r="I2134" s="187"/>
      <c r="J2134" s="187"/>
      <c r="K2134" s="187"/>
      <c r="L2134" s="187"/>
      <c r="M2134" s="187"/>
      <c r="N2134" s="187"/>
      <c r="O2134" s="187"/>
      <c r="P2134" s="187"/>
      <c r="Q2134" s="187"/>
      <c r="R2134" s="187"/>
      <c r="S2134" s="188"/>
    </row>
    <row r="2135" spans="2:19" ht="12.75">
      <c r="B2135" s="185"/>
      <c r="C2135" s="186"/>
      <c r="D2135" s="187"/>
      <c r="E2135" s="187"/>
      <c r="F2135" s="187"/>
      <c r="G2135" s="187"/>
      <c r="H2135" s="187"/>
      <c r="I2135" s="187"/>
      <c r="J2135" s="187"/>
      <c r="K2135" s="187"/>
      <c r="L2135" s="187"/>
      <c r="M2135" s="187"/>
      <c r="N2135" s="187"/>
      <c r="O2135" s="187"/>
      <c r="P2135" s="187"/>
      <c r="Q2135" s="187"/>
      <c r="R2135" s="187"/>
      <c r="S2135" s="188"/>
    </row>
    <row r="2136" spans="2:19" ht="12.75">
      <c r="B2136" s="185"/>
      <c r="C2136" s="186"/>
      <c r="D2136" s="187"/>
      <c r="E2136" s="187"/>
      <c r="F2136" s="187"/>
      <c r="G2136" s="187"/>
      <c r="H2136" s="187"/>
      <c r="I2136" s="187"/>
      <c r="J2136" s="187"/>
      <c r="K2136" s="187"/>
      <c r="L2136" s="187"/>
      <c r="M2136" s="187"/>
      <c r="N2136" s="187"/>
      <c r="O2136" s="187"/>
      <c r="P2136" s="187"/>
      <c r="Q2136" s="187"/>
      <c r="R2136" s="187"/>
      <c r="S2136" s="188"/>
    </row>
    <row r="2137" spans="2:19" ht="12.75">
      <c r="B2137" s="185"/>
      <c r="C2137" s="186"/>
      <c r="D2137" s="187"/>
      <c r="E2137" s="187"/>
      <c r="F2137" s="187"/>
      <c r="G2137" s="187"/>
      <c r="H2137" s="187"/>
      <c r="I2137" s="187"/>
      <c r="J2137" s="187"/>
      <c r="K2137" s="187"/>
      <c r="L2137" s="187"/>
      <c r="M2137" s="187"/>
      <c r="N2137" s="187"/>
      <c r="O2137" s="187"/>
      <c r="P2137" s="187"/>
      <c r="Q2137" s="187"/>
      <c r="R2137" s="187"/>
      <c r="S2137" s="188"/>
    </row>
    <row r="2138" spans="2:19" ht="12.75">
      <c r="B2138" s="185"/>
      <c r="C2138" s="186"/>
      <c r="D2138" s="187"/>
      <c r="E2138" s="187"/>
      <c r="F2138" s="187"/>
      <c r="G2138" s="187"/>
      <c r="H2138" s="187"/>
      <c r="I2138" s="187"/>
      <c r="J2138" s="187"/>
      <c r="K2138" s="187"/>
      <c r="L2138" s="187"/>
      <c r="M2138" s="187"/>
      <c r="N2138" s="187"/>
      <c r="O2138" s="187"/>
      <c r="P2138" s="187"/>
      <c r="Q2138" s="187"/>
      <c r="R2138" s="187"/>
      <c r="S2138" s="188"/>
    </row>
    <row r="2139" spans="2:19" ht="12.75">
      <c r="B2139" s="185"/>
      <c r="C2139" s="186"/>
      <c r="D2139" s="187"/>
      <c r="E2139" s="187"/>
      <c r="F2139" s="187"/>
      <c r="G2139" s="187"/>
      <c r="H2139" s="187"/>
      <c r="I2139" s="187"/>
      <c r="J2139" s="187"/>
      <c r="K2139" s="187"/>
      <c r="L2139" s="187"/>
      <c r="M2139" s="187"/>
      <c r="N2139" s="187"/>
      <c r="O2139" s="187"/>
      <c r="P2139" s="187"/>
      <c r="Q2139" s="187"/>
      <c r="R2139" s="187"/>
      <c r="S2139" s="188"/>
    </row>
    <row r="2140" spans="2:19" ht="12.75">
      <c r="B2140" s="185"/>
      <c r="C2140" s="186"/>
      <c r="D2140" s="187"/>
      <c r="E2140" s="187"/>
      <c r="F2140" s="187"/>
      <c r="G2140" s="187"/>
      <c r="H2140" s="187"/>
      <c r="I2140" s="187"/>
      <c r="J2140" s="187"/>
      <c r="K2140" s="187"/>
      <c r="L2140" s="187"/>
      <c r="M2140" s="187"/>
      <c r="N2140" s="187"/>
      <c r="O2140" s="187"/>
      <c r="P2140" s="187"/>
      <c r="Q2140" s="187"/>
      <c r="R2140" s="187"/>
      <c r="S2140" s="188"/>
    </row>
    <row r="2141" spans="2:19" ht="12.75">
      <c r="B2141" s="185"/>
      <c r="C2141" s="186"/>
      <c r="D2141" s="187"/>
      <c r="E2141" s="187"/>
      <c r="F2141" s="187"/>
      <c r="G2141" s="187"/>
      <c r="H2141" s="187"/>
      <c r="I2141" s="187"/>
      <c r="J2141" s="187"/>
      <c r="K2141" s="187"/>
      <c r="L2141" s="187"/>
      <c r="M2141" s="187"/>
      <c r="N2141" s="187"/>
      <c r="O2141" s="187"/>
      <c r="P2141" s="187"/>
      <c r="Q2141" s="187"/>
      <c r="R2141" s="187"/>
      <c r="S2141" s="188"/>
    </row>
    <row r="2142" spans="2:19" ht="12.75">
      <c r="B2142" s="185"/>
      <c r="C2142" s="186"/>
      <c r="D2142" s="187"/>
      <c r="E2142" s="187"/>
      <c r="F2142" s="187"/>
      <c r="G2142" s="187"/>
      <c r="H2142" s="187"/>
      <c r="I2142" s="187"/>
      <c r="J2142" s="187"/>
      <c r="K2142" s="187"/>
      <c r="L2142" s="187"/>
      <c r="M2142" s="187"/>
      <c r="N2142" s="187"/>
      <c r="O2142" s="187"/>
      <c r="P2142" s="187"/>
      <c r="Q2142" s="187"/>
      <c r="R2142" s="187"/>
      <c r="S2142" s="188"/>
    </row>
    <row r="2143" spans="2:19" ht="12.75">
      <c r="B2143" s="185"/>
      <c r="C2143" s="186"/>
      <c r="D2143" s="187"/>
      <c r="E2143" s="187"/>
      <c r="F2143" s="187"/>
      <c r="G2143" s="187"/>
      <c r="H2143" s="187"/>
      <c r="I2143" s="187"/>
      <c r="J2143" s="187"/>
      <c r="K2143" s="187"/>
      <c r="L2143" s="187"/>
      <c r="M2143" s="187"/>
      <c r="N2143" s="187"/>
      <c r="O2143" s="187"/>
      <c r="P2143" s="187"/>
      <c r="Q2143" s="187"/>
      <c r="R2143" s="187"/>
      <c r="S2143" s="188"/>
    </row>
    <row r="2144" spans="2:19" ht="12.75">
      <c r="B2144" s="185"/>
      <c r="C2144" s="186"/>
      <c r="D2144" s="187"/>
      <c r="E2144" s="187"/>
      <c r="F2144" s="187"/>
      <c r="G2144" s="187"/>
      <c r="H2144" s="187"/>
      <c r="I2144" s="187"/>
      <c r="J2144" s="187"/>
      <c r="K2144" s="187"/>
      <c r="L2144" s="187"/>
      <c r="M2144" s="187"/>
      <c r="N2144" s="187"/>
      <c r="O2144" s="187"/>
      <c r="P2144" s="187"/>
      <c r="Q2144" s="187"/>
      <c r="R2144" s="187"/>
      <c r="S2144" s="188"/>
    </row>
    <row r="2145" spans="2:19" ht="12.75">
      <c r="B2145" s="185"/>
      <c r="C2145" s="186"/>
      <c r="D2145" s="187"/>
      <c r="E2145" s="187"/>
      <c r="F2145" s="187"/>
      <c r="G2145" s="187"/>
      <c r="H2145" s="187"/>
      <c r="I2145" s="187"/>
      <c r="J2145" s="187"/>
      <c r="K2145" s="187"/>
      <c r="L2145" s="187"/>
      <c r="M2145" s="187"/>
      <c r="N2145" s="187"/>
      <c r="O2145" s="187"/>
      <c r="P2145" s="187"/>
      <c r="Q2145" s="187"/>
      <c r="R2145" s="187"/>
      <c r="S2145" s="188"/>
    </row>
    <row r="2146" spans="2:19" ht="12.75">
      <c r="B2146" s="185"/>
      <c r="C2146" s="186"/>
      <c r="D2146" s="187"/>
      <c r="E2146" s="187"/>
      <c r="F2146" s="187"/>
      <c r="G2146" s="187"/>
      <c r="H2146" s="187"/>
      <c r="I2146" s="187"/>
      <c r="J2146" s="187"/>
      <c r="K2146" s="187"/>
      <c r="L2146" s="187"/>
      <c r="M2146" s="187"/>
      <c r="N2146" s="187"/>
      <c r="O2146" s="187"/>
      <c r="P2146" s="187"/>
      <c r="Q2146" s="187"/>
      <c r="R2146" s="187"/>
      <c r="S2146" s="188"/>
    </row>
    <row r="2147" spans="2:19" ht="12.75">
      <c r="B2147" s="185"/>
      <c r="C2147" s="186"/>
      <c r="D2147" s="187"/>
      <c r="E2147" s="187"/>
      <c r="F2147" s="187"/>
      <c r="G2147" s="187"/>
      <c r="H2147" s="187"/>
      <c r="I2147" s="187"/>
      <c r="J2147" s="187"/>
      <c r="K2147" s="187"/>
      <c r="L2147" s="187"/>
      <c r="M2147" s="187"/>
      <c r="N2147" s="187"/>
      <c r="O2147" s="187"/>
      <c r="P2147" s="187"/>
      <c r="Q2147" s="187"/>
      <c r="R2147" s="187"/>
      <c r="S2147" s="188"/>
    </row>
    <row r="2148" spans="2:19" ht="12.75">
      <c r="B2148" s="185"/>
      <c r="C2148" s="186"/>
      <c r="D2148" s="187"/>
      <c r="E2148" s="187"/>
      <c r="F2148" s="187"/>
      <c r="G2148" s="187"/>
      <c r="H2148" s="187"/>
      <c r="I2148" s="187"/>
      <c r="J2148" s="187"/>
      <c r="K2148" s="187"/>
      <c r="L2148" s="187"/>
      <c r="M2148" s="187"/>
      <c r="N2148" s="187"/>
      <c r="O2148" s="187"/>
      <c r="P2148" s="187"/>
      <c r="Q2148" s="187"/>
      <c r="R2148" s="187"/>
      <c r="S2148" s="188"/>
    </row>
    <row r="2149" spans="2:19" ht="12.75">
      <c r="B2149" s="185"/>
      <c r="C2149" s="186"/>
      <c r="D2149" s="187"/>
      <c r="E2149" s="187"/>
      <c r="F2149" s="187"/>
      <c r="G2149" s="187"/>
      <c r="H2149" s="187"/>
      <c r="I2149" s="187"/>
      <c r="J2149" s="187"/>
      <c r="K2149" s="187"/>
      <c r="L2149" s="187"/>
      <c r="M2149" s="187"/>
      <c r="N2149" s="187"/>
      <c r="O2149" s="187"/>
      <c r="P2149" s="187"/>
      <c r="Q2149" s="187"/>
      <c r="R2149" s="187"/>
      <c r="S2149" s="188"/>
    </row>
    <row r="2150" spans="2:19" ht="12.75">
      <c r="B2150" s="185"/>
      <c r="C2150" s="186"/>
      <c r="D2150" s="187"/>
      <c r="E2150" s="187"/>
      <c r="F2150" s="187"/>
      <c r="G2150" s="187"/>
      <c r="H2150" s="187"/>
      <c r="I2150" s="187"/>
      <c r="J2150" s="187"/>
      <c r="K2150" s="187"/>
      <c r="L2150" s="187"/>
      <c r="M2150" s="187"/>
      <c r="N2150" s="187"/>
      <c r="O2150" s="187"/>
      <c r="P2150" s="187"/>
      <c r="Q2150" s="187"/>
      <c r="R2150" s="187"/>
      <c r="S2150" s="188"/>
    </row>
    <row r="2151" spans="2:19" ht="12.75">
      <c r="B2151" s="185"/>
      <c r="C2151" s="186"/>
      <c r="D2151" s="187"/>
      <c r="E2151" s="187"/>
      <c r="F2151" s="187"/>
      <c r="G2151" s="187"/>
      <c r="H2151" s="187"/>
      <c r="I2151" s="187"/>
      <c r="J2151" s="187"/>
      <c r="K2151" s="187"/>
      <c r="L2151" s="187"/>
      <c r="M2151" s="187"/>
      <c r="N2151" s="187"/>
      <c r="O2151" s="187"/>
      <c r="P2151" s="187"/>
      <c r="Q2151" s="187"/>
      <c r="R2151" s="187"/>
      <c r="S2151" s="188"/>
    </row>
    <row r="2152" spans="2:19" ht="12.75">
      <c r="B2152" s="185"/>
      <c r="C2152" s="186"/>
      <c r="D2152" s="187"/>
      <c r="E2152" s="187"/>
      <c r="F2152" s="187"/>
      <c r="G2152" s="187"/>
      <c r="H2152" s="187"/>
      <c r="I2152" s="187"/>
      <c r="J2152" s="187"/>
      <c r="K2152" s="187"/>
      <c r="L2152" s="187"/>
      <c r="M2152" s="187"/>
      <c r="N2152" s="187"/>
      <c r="O2152" s="187"/>
      <c r="P2152" s="187"/>
      <c r="Q2152" s="187"/>
      <c r="R2152" s="187"/>
      <c r="S2152" s="188"/>
    </row>
    <row r="2153" spans="2:19" ht="12.75">
      <c r="B2153" s="185"/>
      <c r="C2153" s="186"/>
      <c r="D2153" s="187"/>
      <c r="E2153" s="187"/>
      <c r="F2153" s="187"/>
      <c r="G2153" s="187"/>
      <c r="H2153" s="187"/>
      <c r="I2153" s="187"/>
      <c r="J2153" s="187"/>
      <c r="K2153" s="187"/>
      <c r="L2153" s="187"/>
      <c r="M2153" s="187"/>
      <c r="N2153" s="187"/>
      <c r="O2153" s="187"/>
      <c r="P2153" s="187"/>
      <c r="Q2153" s="187"/>
      <c r="R2153" s="187"/>
      <c r="S2153" s="188"/>
    </row>
    <row r="2154" spans="2:19" ht="12.75">
      <c r="B2154" s="185"/>
      <c r="C2154" s="186"/>
      <c r="D2154" s="187"/>
      <c r="E2154" s="187"/>
      <c r="F2154" s="187"/>
      <c r="G2154" s="187"/>
      <c r="H2154" s="187"/>
      <c r="I2154" s="187"/>
      <c r="J2154" s="187"/>
      <c r="K2154" s="187"/>
      <c r="L2154" s="187"/>
      <c r="M2154" s="187"/>
      <c r="N2154" s="187"/>
      <c r="O2154" s="187"/>
      <c r="P2154" s="187"/>
      <c r="Q2154" s="187"/>
      <c r="R2154" s="187"/>
      <c r="S2154" s="188"/>
    </row>
    <row r="2155" spans="2:19" ht="12.75">
      <c r="B2155" s="185"/>
      <c r="C2155" s="186"/>
      <c r="D2155" s="187"/>
      <c r="E2155" s="187"/>
      <c r="F2155" s="187"/>
      <c r="G2155" s="187"/>
      <c r="H2155" s="187"/>
      <c r="I2155" s="187"/>
      <c r="J2155" s="187"/>
      <c r="K2155" s="187"/>
      <c r="L2155" s="187"/>
      <c r="M2155" s="187"/>
      <c r="N2155" s="187"/>
      <c r="O2155" s="187"/>
      <c r="P2155" s="187"/>
      <c r="Q2155" s="187"/>
      <c r="R2155" s="187"/>
      <c r="S2155" s="188"/>
    </row>
    <row r="2156" spans="2:19" ht="12.75">
      <c r="B2156" s="185"/>
      <c r="C2156" s="186"/>
      <c r="D2156" s="187"/>
      <c r="E2156" s="187"/>
      <c r="F2156" s="187"/>
      <c r="G2156" s="187"/>
      <c r="H2156" s="187"/>
      <c r="I2156" s="187"/>
      <c r="J2156" s="187"/>
      <c r="K2156" s="187"/>
      <c r="L2156" s="187"/>
      <c r="M2156" s="187"/>
      <c r="N2156" s="187"/>
      <c r="O2156" s="187"/>
      <c r="P2156" s="187"/>
      <c r="Q2156" s="187"/>
      <c r="R2156" s="187"/>
      <c r="S2156" s="188"/>
    </row>
    <row r="2157" spans="2:19" ht="12.75">
      <c r="B2157" s="185"/>
      <c r="C2157" s="186"/>
      <c r="D2157" s="187"/>
      <c r="E2157" s="187"/>
      <c r="F2157" s="187"/>
      <c r="G2157" s="187"/>
      <c r="H2157" s="187"/>
      <c r="I2157" s="187"/>
      <c r="J2157" s="187"/>
      <c r="K2157" s="187"/>
      <c r="L2157" s="187"/>
      <c r="M2157" s="187"/>
      <c r="N2157" s="187"/>
      <c r="O2157" s="187"/>
      <c r="P2157" s="187"/>
      <c r="Q2157" s="187"/>
      <c r="R2157" s="187"/>
      <c r="S2157" s="188"/>
    </row>
    <row r="2158" spans="2:19" ht="12.75">
      <c r="B2158" s="185"/>
      <c r="C2158" s="186"/>
      <c r="D2158" s="187"/>
      <c r="E2158" s="187"/>
      <c r="F2158" s="187"/>
      <c r="G2158" s="187"/>
      <c r="H2158" s="187"/>
      <c r="I2158" s="187"/>
      <c r="J2158" s="187"/>
      <c r="K2158" s="187"/>
      <c r="L2158" s="187"/>
      <c r="M2158" s="187"/>
      <c r="N2158" s="187"/>
      <c r="O2158" s="187"/>
      <c r="P2158" s="187"/>
      <c r="Q2158" s="187"/>
      <c r="R2158" s="187"/>
      <c r="S2158" s="188"/>
    </row>
    <row r="2159" spans="2:19" ht="12.75">
      <c r="B2159" s="185"/>
      <c r="C2159" s="186"/>
      <c r="D2159" s="187"/>
      <c r="E2159" s="187"/>
      <c r="F2159" s="187"/>
      <c r="G2159" s="187"/>
      <c r="H2159" s="187"/>
      <c r="I2159" s="187"/>
      <c r="J2159" s="187"/>
      <c r="K2159" s="187"/>
      <c r="L2159" s="187"/>
      <c r="M2159" s="187"/>
      <c r="N2159" s="187"/>
      <c r="O2159" s="187"/>
      <c r="P2159" s="187"/>
      <c r="Q2159" s="187"/>
      <c r="R2159" s="187"/>
      <c r="S2159" s="188"/>
    </row>
    <row r="2160" spans="2:19" ht="12.75">
      <c r="B2160" s="185"/>
      <c r="C2160" s="186"/>
      <c r="D2160" s="187"/>
      <c r="E2160" s="187"/>
      <c r="F2160" s="187"/>
      <c r="G2160" s="187"/>
      <c r="H2160" s="187"/>
      <c r="I2160" s="187"/>
      <c r="J2160" s="187"/>
      <c r="K2160" s="187"/>
      <c r="L2160" s="187"/>
      <c r="M2160" s="187"/>
      <c r="N2160" s="187"/>
      <c r="O2160" s="187"/>
      <c r="P2160" s="187"/>
      <c r="Q2160" s="187"/>
      <c r="R2160" s="187"/>
      <c r="S2160" s="188"/>
    </row>
    <row r="2161" spans="2:19" ht="12.75">
      <c r="B2161" s="185"/>
      <c r="C2161" s="186"/>
      <c r="D2161" s="187"/>
      <c r="E2161" s="187"/>
      <c r="F2161" s="187"/>
      <c r="G2161" s="187"/>
      <c r="H2161" s="187"/>
      <c r="I2161" s="187"/>
      <c r="J2161" s="187"/>
      <c r="K2161" s="187"/>
      <c r="L2161" s="187"/>
      <c r="M2161" s="187"/>
      <c r="N2161" s="187"/>
      <c r="O2161" s="187"/>
      <c r="P2161" s="187"/>
      <c r="Q2161" s="187"/>
      <c r="R2161" s="187"/>
      <c r="S2161" s="188"/>
    </row>
    <row r="2162" spans="2:19" ht="12.75">
      <c r="B2162" s="185"/>
      <c r="C2162" s="186"/>
      <c r="D2162" s="187"/>
      <c r="E2162" s="187"/>
      <c r="F2162" s="187"/>
      <c r="G2162" s="187"/>
      <c r="H2162" s="187"/>
      <c r="I2162" s="187"/>
      <c r="J2162" s="187"/>
      <c r="K2162" s="187"/>
      <c r="L2162" s="187"/>
      <c r="M2162" s="187"/>
      <c r="N2162" s="187"/>
      <c r="O2162" s="187"/>
      <c r="P2162" s="187"/>
      <c r="Q2162" s="187"/>
      <c r="R2162" s="187"/>
      <c r="S2162" s="188"/>
    </row>
    <row r="2163" spans="2:19" ht="12.75">
      <c r="B2163" s="185"/>
      <c r="C2163" s="186"/>
      <c r="D2163" s="187"/>
      <c r="E2163" s="187"/>
      <c r="F2163" s="187"/>
      <c r="G2163" s="187"/>
      <c r="H2163" s="187"/>
      <c r="I2163" s="187"/>
      <c r="J2163" s="187"/>
      <c r="K2163" s="187"/>
      <c r="L2163" s="187"/>
      <c r="M2163" s="187"/>
      <c r="N2163" s="187"/>
      <c r="O2163" s="187"/>
      <c r="P2163" s="187"/>
      <c r="Q2163" s="187"/>
      <c r="R2163" s="187"/>
      <c r="S2163" s="188"/>
    </row>
    <row r="2164" spans="2:19" ht="12.75">
      <c r="B2164" s="185"/>
      <c r="C2164" s="186"/>
      <c r="D2164" s="187"/>
      <c r="E2164" s="187"/>
      <c r="F2164" s="187"/>
      <c r="G2164" s="187"/>
      <c r="H2164" s="187"/>
      <c r="I2164" s="187"/>
      <c r="J2164" s="187"/>
      <c r="K2164" s="187"/>
      <c r="L2164" s="187"/>
      <c r="M2164" s="187"/>
      <c r="N2164" s="187"/>
      <c r="O2164" s="187"/>
      <c r="P2164" s="187"/>
      <c r="Q2164" s="187"/>
      <c r="R2164" s="187"/>
      <c r="S2164" s="188"/>
    </row>
    <row r="2165" spans="2:19" ht="12.75">
      <c r="B2165" s="185"/>
      <c r="C2165" s="186"/>
      <c r="D2165" s="187"/>
      <c r="E2165" s="187"/>
      <c r="F2165" s="187"/>
      <c r="G2165" s="187"/>
      <c r="H2165" s="187"/>
      <c r="I2165" s="187"/>
      <c r="J2165" s="187"/>
      <c r="K2165" s="187"/>
      <c r="L2165" s="187"/>
      <c r="M2165" s="187"/>
      <c r="N2165" s="187"/>
      <c r="O2165" s="187"/>
      <c r="P2165" s="187"/>
      <c r="Q2165" s="187"/>
      <c r="R2165" s="187"/>
      <c r="S2165" s="188"/>
    </row>
    <row r="2166" spans="2:19" ht="12.75">
      <c r="B2166" s="185"/>
      <c r="C2166" s="186"/>
      <c r="D2166" s="187"/>
      <c r="E2166" s="187"/>
      <c r="F2166" s="187"/>
      <c r="G2166" s="187"/>
      <c r="H2166" s="187"/>
      <c r="I2166" s="187"/>
      <c r="J2166" s="187"/>
      <c r="K2166" s="187"/>
      <c r="L2166" s="187"/>
      <c r="M2166" s="187"/>
      <c r="N2166" s="187"/>
      <c r="O2166" s="187"/>
      <c r="P2166" s="187"/>
      <c r="Q2166" s="187"/>
      <c r="R2166" s="187"/>
      <c r="S2166" s="188"/>
    </row>
    <row r="2167" spans="2:19" ht="12.75">
      <c r="B2167" s="185"/>
      <c r="C2167" s="186"/>
      <c r="D2167" s="187"/>
      <c r="E2167" s="187"/>
      <c r="F2167" s="187"/>
      <c r="G2167" s="187"/>
      <c r="H2167" s="187"/>
      <c r="I2167" s="187"/>
      <c r="J2167" s="187"/>
      <c r="K2167" s="187"/>
      <c r="L2167" s="187"/>
      <c r="M2167" s="187"/>
      <c r="N2167" s="187"/>
      <c r="O2167" s="187"/>
      <c r="P2167" s="187"/>
      <c r="Q2167" s="187"/>
      <c r="R2167" s="187"/>
      <c r="S2167" s="188"/>
    </row>
    <row r="2168" spans="2:19" ht="12.75">
      <c r="B2168" s="185"/>
      <c r="C2168" s="186"/>
      <c r="D2168" s="187"/>
      <c r="E2168" s="187"/>
      <c r="F2168" s="187"/>
      <c r="G2168" s="187"/>
      <c r="H2168" s="187"/>
      <c r="I2168" s="187"/>
      <c r="J2168" s="187"/>
      <c r="K2168" s="187"/>
      <c r="L2168" s="187"/>
      <c r="M2168" s="187"/>
      <c r="N2168" s="187"/>
      <c r="O2168" s="187"/>
      <c r="P2168" s="187"/>
      <c r="Q2168" s="187"/>
      <c r="R2168" s="187"/>
      <c r="S2168" s="188"/>
    </row>
    <row r="2169" spans="2:19" ht="12.75">
      <c r="B2169" s="185"/>
      <c r="C2169" s="186"/>
      <c r="D2169" s="187"/>
      <c r="E2169" s="187"/>
      <c r="F2169" s="187"/>
      <c r="G2169" s="187"/>
      <c r="H2169" s="187"/>
      <c r="I2169" s="187"/>
      <c r="J2169" s="187"/>
      <c r="K2169" s="187"/>
      <c r="L2169" s="187"/>
      <c r="M2169" s="187"/>
      <c r="N2169" s="187"/>
      <c r="O2169" s="187"/>
      <c r="P2169" s="187"/>
      <c r="Q2169" s="187"/>
      <c r="R2169" s="187"/>
      <c r="S2169" s="188"/>
    </row>
    <row r="2170" spans="2:19" ht="12.75">
      <c r="B2170" s="185"/>
      <c r="C2170" s="186"/>
      <c r="D2170" s="187"/>
      <c r="E2170" s="187"/>
      <c r="F2170" s="187"/>
      <c r="G2170" s="187"/>
      <c r="H2170" s="187"/>
      <c r="I2170" s="187"/>
      <c r="J2170" s="187"/>
      <c r="K2170" s="187"/>
      <c r="L2170" s="187"/>
      <c r="M2170" s="187"/>
      <c r="N2170" s="187"/>
      <c r="O2170" s="187"/>
      <c r="P2170" s="187"/>
      <c r="Q2170" s="187"/>
      <c r="R2170" s="187"/>
      <c r="S2170" s="188"/>
    </row>
    <row r="2171" spans="2:19" ht="12.75">
      <c r="B2171" s="185"/>
      <c r="C2171" s="186"/>
      <c r="D2171" s="187"/>
      <c r="E2171" s="187"/>
      <c r="F2171" s="187"/>
      <c r="G2171" s="187"/>
      <c r="H2171" s="187"/>
      <c r="I2171" s="187"/>
      <c r="J2171" s="187"/>
      <c r="K2171" s="187"/>
      <c r="L2171" s="187"/>
      <c r="M2171" s="187"/>
      <c r="N2171" s="187"/>
      <c r="O2171" s="187"/>
      <c r="P2171" s="187"/>
      <c r="Q2171" s="187"/>
      <c r="R2171" s="187"/>
      <c r="S2171" s="188"/>
    </row>
    <row r="2172" spans="2:19" ht="12.75">
      <c r="B2172" s="185"/>
      <c r="C2172" s="186"/>
      <c r="D2172" s="187"/>
      <c r="E2172" s="187"/>
      <c r="F2172" s="187"/>
      <c r="G2172" s="187"/>
      <c r="H2172" s="187"/>
      <c r="I2172" s="187"/>
      <c r="J2172" s="187"/>
      <c r="K2172" s="187"/>
      <c r="L2172" s="187"/>
      <c r="M2172" s="187"/>
      <c r="N2172" s="187"/>
      <c r="O2172" s="187"/>
      <c r="P2172" s="187"/>
      <c r="Q2172" s="187"/>
      <c r="R2172" s="187"/>
      <c r="S2172" s="188"/>
    </row>
    <row r="2173" spans="2:19" ht="12.75">
      <c r="B2173" s="185"/>
      <c r="C2173" s="186"/>
      <c r="D2173" s="187"/>
      <c r="E2173" s="187"/>
      <c r="F2173" s="187"/>
      <c r="G2173" s="187"/>
      <c r="H2173" s="187"/>
      <c r="I2173" s="187"/>
      <c r="J2173" s="187"/>
      <c r="K2173" s="187"/>
      <c r="L2173" s="187"/>
      <c r="M2173" s="187"/>
      <c r="N2173" s="187"/>
      <c r="O2173" s="187"/>
      <c r="P2173" s="187"/>
      <c r="Q2173" s="187"/>
      <c r="R2173" s="187"/>
      <c r="S2173" s="188"/>
    </row>
    <row r="2174" spans="2:19" ht="12.75">
      <c r="B2174" s="185"/>
      <c r="C2174" s="186"/>
      <c r="D2174" s="187"/>
      <c r="E2174" s="187"/>
      <c r="F2174" s="187"/>
      <c r="G2174" s="187"/>
      <c r="H2174" s="187"/>
      <c r="I2174" s="187"/>
      <c r="J2174" s="187"/>
      <c r="K2174" s="187"/>
      <c r="L2174" s="187"/>
      <c r="M2174" s="187"/>
      <c r="N2174" s="187"/>
      <c r="O2174" s="187"/>
      <c r="P2174" s="187"/>
      <c r="Q2174" s="187"/>
      <c r="R2174" s="187"/>
      <c r="S2174" s="188"/>
    </row>
    <row r="2175" spans="2:19" ht="12.75">
      <c r="B2175" s="185"/>
      <c r="C2175" s="186"/>
      <c r="D2175" s="187"/>
      <c r="E2175" s="187"/>
      <c r="F2175" s="187"/>
      <c r="G2175" s="187"/>
      <c r="H2175" s="187"/>
      <c r="I2175" s="187"/>
      <c r="J2175" s="187"/>
      <c r="K2175" s="187"/>
      <c r="L2175" s="187"/>
      <c r="M2175" s="187"/>
      <c r="N2175" s="187"/>
      <c r="O2175" s="187"/>
      <c r="P2175" s="187"/>
      <c r="Q2175" s="187"/>
      <c r="R2175" s="187"/>
      <c r="S2175" s="188"/>
    </row>
    <row r="2176" spans="2:19" ht="12.75">
      <c r="B2176" s="185"/>
      <c r="C2176" s="186"/>
      <c r="D2176" s="187"/>
      <c r="E2176" s="187"/>
      <c r="F2176" s="187"/>
      <c r="G2176" s="187"/>
      <c r="H2176" s="187"/>
      <c r="I2176" s="187"/>
      <c r="J2176" s="187"/>
      <c r="K2176" s="187"/>
      <c r="L2176" s="187"/>
      <c r="M2176" s="187"/>
      <c r="N2176" s="187"/>
      <c r="O2176" s="187"/>
      <c r="P2176" s="187"/>
      <c r="Q2176" s="187"/>
      <c r="R2176" s="187"/>
      <c r="S2176" s="188"/>
    </row>
    <row r="2177" spans="2:19" ht="12.75">
      <c r="B2177" s="185"/>
      <c r="C2177" s="186"/>
      <c r="D2177" s="187"/>
      <c r="E2177" s="187"/>
      <c r="F2177" s="187"/>
      <c r="G2177" s="187"/>
      <c r="H2177" s="187"/>
      <c r="I2177" s="187"/>
      <c r="J2177" s="187"/>
      <c r="K2177" s="187"/>
      <c r="L2177" s="187"/>
      <c r="M2177" s="187"/>
      <c r="N2177" s="187"/>
      <c r="O2177" s="187"/>
      <c r="P2177" s="187"/>
      <c r="Q2177" s="187"/>
      <c r="R2177" s="187"/>
      <c r="S2177" s="188"/>
    </row>
    <row r="2178" spans="2:19" ht="12.75">
      <c r="B2178" s="185"/>
      <c r="C2178" s="186"/>
      <c r="D2178" s="187"/>
      <c r="E2178" s="187"/>
      <c r="F2178" s="187"/>
      <c r="G2178" s="187"/>
      <c r="H2178" s="187"/>
      <c r="I2178" s="187"/>
      <c r="J2178" s="187"/>
      <c r="K2178" s="187"/>
      <c r="L2178" s="187"/>
      <c r="M2178" s="187"/>
      <c r="N2178" s="187"/>
      <c r="O2178" s="187"/>
      <c r="P2178" s="187"/>
      <c r="Q2178" s="187"/>
      <c r="R2178" s="187"/>
      <c r="S2178" s="188"/>
    </row>
    <row r="2179" spans="2:19" ht="12.75">
      <c r="B2179" s="185"/>
      <c r="C2179" s="186"/>
      <c r="D2179" s="187"/>
      <c r="E2179" s="187"/>
      <c r="F2179" s="187"/>
      <c r="G2179" s="187"/>
      <c r="H2179" s="187"/>
      <c r="I2179" s="187"/>
      <c r="J2179" s="187"/>
      <c r="K2179" s="187"/>
      <c r="L2179" s="187"/>
      <c r="M2179" s="187"/>
      <c r="N2179" s="187"/>
      <c r="O2179" s="187"/>
      <c r="P2179" s="187"/>
      <c r="Q2179" s="187"/>
      <c r="R2179" s="187"/>
      <c r="S2179" s="188"/>
    </row>
    <row r="2180" spans="2:19" ht="12.75">
      <c r="B2180" s="185"/>
      <c r="C2180" s="186"/>
      <c r="D2180" s="187"/>
      <c r="E2180" s="187"/>
      <c r="F2180" s="187"/>
      <c r="G2180" s="187"/>
      <c r="H2180" s="187"/>
      <c r="I2180" s="187"/>
      <c r="J2180" s="187"/>
      <c r="K2180" s="187"/>
      <c r="L2180" s="187"/>
      <c r="M2180" s="187"/>
      <c r="N2180" s="187"/>
      <c r="O2180" s="187"/>
      <c r="P2180" s="187"/>
      <c r="Q2180" s="187"/>
      <c r="R2180" s="187"/>
      <c r="S2180" s="188"/>
    </row>
    <row r="2181" spans="2:19" ht="12.75">
      <c r="B2181" s="185"/>
      <c r="C2181" s="186"/>
      <c r="D2181" s="187"/>
      <c r="E2181" s="187"/>
      <c r="F2181" s="187"/>
      <c r="G2181" s="187"/>
      <c r="H2181" s="187"/>
      <c r="I2181" s="187"/>
      <c r="J2181" s="187"/>
      <c r="K2181" s="187"/>
      <c r="L2181" s="187"/>
      <c r="M2181" s="187"/>
      <c r="N2181" s="187"/>
      <c r="O2181" s="187"/>
      <c r="P2181" s="187"/>
      <c r="Q2181" s="187"/>
      <c r="R2181" s="187"/>
      <c r="S2181" s="188"/>
    </row>
    <row r="2182" spans="2:19" ht="12.75">
      <c r="B2182" s="185"/>
      <c r="C2182" s="186"/>
      <c r="D2182" s="187"/>
      <c r="E2182" s="187"/>
      <c r="F2182" s="187"/>
      <c r="G2182" s="187"/>
      <c r="H2182" s="187"/>
      <c r="I2182" s="187"/>
      <c r="J2182" s="187"/>
      <c r="K2182" s="187"/>
      <c r="L2182" s="187"/>
      <c r="M2182" s="187"/>
      <c r="N2182" s="187"/>
      <c r="O2182" s="187"/>
      <c r="P2182" s="187"/>
      <c r="Q2182" s="187"/>
      <c r="R2182" s="187"/>
      <c r="S2182" s="188"/>
    </row>
    <row r="2183" spans="2:19" ht="12.75">
      <c r="B2183" s="185"/>
      <c r="C2183" s="186"/>
      <c r="D2183" s="187"/>
      <c r="E2183" s="187"/>
      <c r="F2183" s="187"/>
      <c r="G2183" s="187"/>
      <c r="H2183" s="187"/>
      <c r="I2183" s="187"/>
      <c r="J2183" s="187"/>
      <c r="K2183" s="187"/>
      <c r="L2183" s="187"/>
      <c r="M2183" s="187"/>
      <c r="N2183" s="187"/>
      <c r="O2183" s="187"/>
      <c r="P2183" s="187"/>
      <c r="Q2183" s="187"/>
      <c r="R2183" s="187"/>
      <c r="S2183" s="188"/>
    </row>
    <row r="2184" spans="2:19" ht="12.75">
      <c r="B2184" s="185"/>
      <c r="C2184" s="186"/>
      <c r="D2184" s="187"/>
      <c r="E2184" s="187"/>
      <c r="F2184" s="187"/>
      <c r="G2184" s="187"/>
      <c r="H2184" s="187"/>
      <c r="I2184" s="187"/>
      <c r="J2184" s="187"/>
      <c r="K2184" s="187"/>
      <c r="L2184" s="187"/>
      <c r="M2184" s="187"/>
      <c r="N2184" s="187"/>
      <c r="O2184" s="187"/>
      <c r="P2184" s="187"/>
      <c r="Q2184" s="187"/>
      <c r="R2184" s="187"/>
      <c r="S2184" s="188"/>
    </row>
    <row r="2185" spans="2:19" ht="12.75">
      <c r="B2185" s="185"/>
      <c r="C2185" s="186"/>
      <c r="D2185" s="187"/>
      <c r="E2185" s="187"/>
      <c r="F2185" s="187"/>
      <c r="G2185" s="187"/>
      <c r="H2185" s="187"/>
      <c r="I2185" s="187"/>
      <c r="J2185" s="187"/>
      <c r="K2185" s="187"/>
      <c r="L2185" s="187"/>
      <c r="M2185" s="187"/>
      <c r="N2185" s="187"/>
      <c r="O2185" s="187"/>
      <c r="P2185" s="187"/>
      <c r="Q2185" s="187"/>
      <c r="R2185" s="187"/>
      <c r="S2185" s="188"/>
    </row>
    <row r="2186" spans="2:19" ht="12.75">
      <c r="B2186" s="185"/>
      <c r="C2186" s="186"/>
      <c r="D2186" s="187"/>
      <c r="E2186" s="187"/>
      <c r="F2186" s="187"/>
      <c r="G2186" s="187"/>
      <c r="H2186" s="187"/>
      <c r="I2186" s="187"/>
      <c r="J2186" s="187"/>
      <c r="K2186" s="187"/>
      <c r="L2186" s="187"/>
      <c r="M2186" s="187"/>
      <c r="N2186" s="187"/>
      <c r="O2186" s="187"/>
      <c r="P2186" s="187"/>
      <c r="Q2186" s="187"/>
      <c r="R2186" s="187"/>
      <c r="S2186" s="188"/>
    </row>
    <row r="2187" spans="2:19" ht="12.75">
      <c r="B2187" s="185"/>
      <c r="C2187" s="186"/>
      <c r="D2187" s="187"/>
      <c r="E2187" s="187"/>
      <c r="F2187" s="187"/>
      <c r="G2187" s="187"/>
      <c r="H2187" s="187"/>
      <c r="I2187" s="187"/>
      <c r="J2187" s="187"/>
      <c r="K2187" s="187"/>
      <c r="L2187" s="187"/>
      <c r="M2187" s="187"/>
      <c r="N2187" s="187"/>
      <c r="O2187" s="187"/>
      <c r="P2187" s="187"/>
      <c r="Q2187" s="187"/>
      <c r="R2187" s="187"/>
      <c r="S2187" s="188"/>
    </row>
    <row r="2188" spans="2:19" ht="12.75">
      <c r="B2188" s="185"/>
      <c r="C2188" s="186"/>
      <c r="D2188" s="187"/>
      <c r="E2188" s="187"/>
      <c r="F2188" s="187"/>
      <c r="G2188" s="187"/>
      <c r="H2188" s="187"/>
      <c r="I2188" s="187"/>
      <c r="J2188" s="187"/>
      <c r="K2188" s="187"/>
      <c r="L2188" s="187"/>
      <c r="M2188" s="187"/>
      <c r="N2188" s="187"/>
      <c r="O2188" s="187"/>
      <c r="P2188" s="187"/>
      <c r="Q2188" s="187"/>
      <c r="R2188" s="187"/>
      <c r="S2188" s="188"/>
    </row>
    <row r="2189" spans="2:19" ht="12.75">
      <c r="B2189" s="185"/>
      <c r="C2189" s="186"/>
      <c r="D2189" s="187"/>
      <c r="E2189" s="187"/>
      <c r="F2189" s="187"/>
      <c r="G2189" s="187"/>
      <c r="H2189" s="187"/>
      <c r="I2189" s="187"/>
      <c r="J2189" s="187"/>
      <c r="K2189" s="187"/>
      <c r="L2189" s="187"/>
      <c r="M2189" s="187"/>
      <c r="N2189" s="187"/>
      <c r="O2189" s="187"/>
      <c r="P2189" s="187"/>
      <c r="Q2189" s="187"/>
      <c r="R2189" s="187"/>
      <c r="S2189" s="188"/>
    </row>
    <row r="2190" spans="2:19" ht="12.75">
      <c r="B2190" s="185"/>
      <c r="C2190" s="186"/>
      <c r="D2190" s="187"/>
      <c r="E2190" s="187"/>
      <c r="F2190" s="187"/>
      <c r="G2190" s="187"/>
      <c r="H2190" s="187"/>
      <c r="I2190" s="187"/>
      <c r="J2190" s="187"/>
      <c r="K2190" s="187"/>
      <c r="L2190" s="187"/>
      <c r="M2190" s="187"/>
      <c r="N2190" s="187"/>
      <c r="O2190" s="187"/>
      <c r="P2190" s="187"/>
      <c r="Q2190" s="187"/>
      <c r="R2190" s="187"/>
      <c r="S2190" s="188"/>
    </row>
    <row r="2191" spans="2:19" ht="12.75">
      <c r="B2191" s="185"/>
      <c r="C2191" s="186"/>
      <c r="D2191" s="187"/>
      <c r="E2191" s="187"/>
      <c r="F2191" s="187"/>
      <c r="G2191" s="187"/>
      <c r="H2191" s="187"/>
      <c r="I2191" s="187"/>
      <c r="J2191" s="187"/>
      <c r="K2191" s="187"/>
      <c r="L2191" s="187"/>
      <c r="M2191" s="187"/>
      <c r="N2191" s="187"/>
      <c r="O2191" s="187"/>
      <c r="P2191" s="187"/>
      <c r="Q2191" s="187"/>
      <c r="R2191" s="187"/>
      <c r="S2191" s="188"/>
    </row>
    <row r="2192" spans="2:19" ht="12.75">
      <c r="B2192" s="185"/>
      <c r="C2192" s="186"/>
      <c r="D2192" s="187"/>
      <c r="E2192" s="187"/>
      <c r="F2192" s="187"/>
      <c r="G2192" s="187"/>
      <c r="H2192" s="187"/>
      <c r="I2192" s="187"/>
      <c r="J2192" s="187"/>
      <c r="K2192" s="187"/>
      <c r="L2192" s="187"/>
      <c r="M2192" s="187"/>
      <c r="N2192" s="187"/>
      <c r="O2192" s="187"/>
      <c r="P2192" s="187"/>
      <c r="Q2192" s="187"/>
      <c r="R2192" s="187"/>
      <c r="S2192" s="188"/>
    </row>
    <row r="2193" spans="2:19" ht="12.75">
      <c r="B2193" s="185"/>
      <c r="C2193" s="186"/>
      <c r="D2193" s="187"/>
      <c r="E2193" s="187"/>
      <c r="F2193" s="187"/>
      <c r="G2193" s="187"/>
      <c r="H2193" s="187"/>
      <c r="I2193" s="187"/>
      <c r="J2193" s="187"/>
      <c r="K2193" s="187"/>
      <c r="L2193" s="187"/>
      <c r="M2193" s="187"/>
      <c r="N2193" s="187"/>
      <c r="O2193" s="187"/>
      <c r="P2193" s="187"/>
      <c r="Q2193" s="187"/>
      <c r="R2193" s="187"/>
      <c r="S2193" s="188"/>
    </row>
    <row r="2194" spans="2:19" ht="12.75">
      <c r="B2194" s="185"/>
      <c r="C2194" s="186"/>
      <c r="D2194" s="187"/>
      <c r="E2194" s="187"/>
      <c r="F2194" s="187"/>
      <c r="G2194" s="187"/>
      <c r="H2194" s="187"/>
      <c r="I2194" s="187"/>
      <c r="J2194" s="187"/>
      <c r="K2194" s="187"/>
      <c r="L2194" s="187"/>
      <c r="M2194" s="187"/>
      <c r="N2194" s="187"/>
      <c r="O2194" s="187"/>
      <c r="P2194" s="187"/>
      <c r="Q2194" s="187"/>
      <c r="R2194" s="187"/>
      <c r="S2194" s="188"/>
    </row>
    <row r="2195" spans="2:19" ht="12.75">
      <c r="B2195" s="185"/>
      <c r="C2195" s="186"/>
      <c r="D2195" s="187"/>
      <c r="E2195" s="187"/>
      <c r="F2195" s="187"/>
      <c r="G2195" s="187"/>
      <c r="H2195" s="187"/>
      <c r="I2195" s="187"/>
      <c r="J2195" s="187"/>
      <c r="K2195" s="187"/>
      <c r="L2195" s="187"/>
      <c r="M2195" s="187"/>
      <c r="N2195" s="187"/>
      <c r="O2195" s="187"/>
      <c r="P2195" s="187"/>
      <c r="Q2195" s="187"/>
      <c r="R2195" s="187"/>
      <c r="S2195" s="188"/>
    </row>
    <row r="2196" spans="2:19" ht="12.75">
      <c r="B2196" s="185"/>
      <c r="C2196" s="186"/>
      <c r="D2196" s="187"/>
      <c r="E2196" s="187"/>
      <c r="F2196" s="187"/>
      <c r="G2196" s="187"/>
      <c r="H2196" s="187"/>
      <c r="I2196" s="187"/>
      <c r="J2196" s="187"/>
      <c r="K2196" s="187"/>
      <c r="L2196" s="187"/>
      <c r="M2196" s="187"/>
      <c r="N2196" s="187"/>
      <c r="O2196" s="187"/>
      <c r="P2196" s="187"/>
      <c r="Q2196" s="187"/>
      <c r="R2196" s="187"/>
      <c r="S2196" s="188"/>
    </row>
    <row r="2197" spans="2:19" ht="12.75">
      <c r="B2197" s="185"/>
      <c r="C2197" s="186"/>
      <c r="D2197" s="187"/>
      <c r="E2197" s="187"/>
      <c r="F2197" s="187"/>
      <c r="G2197" s="187"/>
      <c r="H2197" s="187"/>
      <c r="I2197" s="187"/>
      <c r="J2197" s="187"/>
      <c r="K2197" s="187"/>
      <c r="L2197" s="187"/>
      <c r="M2197" s="187"/>
      <c r="N2197" s="187"/>
      <c r="O2197" s="187"/>
      <c r="P2197" s="187"/>
      <c r="Q2197" s="187"/>
      <c r="R2197" s="187"/>
      <c r="S2197" s="188"/>
    </row>
    <row r="2198" spans="2:19" ht="12.75">
      <c r="B2198" s="185"/>
      <c r="C2198" s="186"/>
      <c r="D2198" s="187"/>
      <c r="E2198" s="187"/>
      <c r="F2198" s="187"/>
      <c r="G2198" s="187"/>
      <c r="H2198" s="187"/>
      <c r="I2198" s="187"/>
      <c r="J2198" s="187"/>
      <c r="K2198" s="187"/>
      <c r="L2198" s="187"/>
      <c r="M2198" s="187"/>
      <c r="N2198" s="187"/>
      <c r="O2198" s="187"/>
      <c r="P2198" s="187"/>
      <c r="Q2198" s="187"/>
      <c r="R2198" s="187"/>
      <c r="S2198" s="188"/>
    </row>
    <row r="2199" spans="2:19" ht="12.75">
      <c r="B2199" s="185"/>
      <c r="C2199" s="186"/>
      <c r="D2199" s="187"/>
      <c r="E2199" s="187"/>
      <c r="F2199" s="187"/>
      <c r="G2199" s="187"/>
      <c r="H2199" s="187"/>
      <c r="I2199" s="187"/>
      <c r="J2199" s="187"/>
      <c r="K2199" s="187"/>
      <c r="L2199" s="187"/>
      <c r="M2199" s="187"/>
      <c r="N2199" s="187"/>
      <c r="O2199" s="187"/>
      <c r="P2199" s="187"/>
      <c r="Q2199" s="187"/>
      <c r="R2199" s="187"/>
      <c r="S2199" s="188"/>
    </row>
    <row r="2200" spans="2:19" ht="12.75">
      <c r="B2200" s="185"/>
      <c r="C2200" s="186"/>
      <c r="D2200" s="187"/>
      <c r="E2200" s="187"/>
      <c r="F2200" s="187"/>
      <c r="G2200" s="187"/>
      <c r="H2200" s="187"/>
      <c r="I2200" s="187"/>
      <c r="J2200" s="187"/>
      <c r="K2200" s="187"/>
      <c r="L2200" s="187"/>
      <c r="M2200" s="187"/>
      <c r="N2200" s="187"/>
      <c r="O2200" s="187"/>
      <c r="P2200" s="187"/>
      <c r="Q2200" s="187"/>
      <c r="R2200" s="187"/>
      <c r="S2200" s="188"/>
    </row>
    <row r="2201" spans="2:19" ht="12.75">
      <c r="B2201" s="185"/>
      <c r="C2201" s="186"/>
      <c r="D2201" s="187"/>
      <c r="E2201" s="187"/>
      <c r="F2201" s="187"/>
      <c r="G2201" s="187"/>
      <c r="H2201" s="187"/>
      <c r="I2201" s="187"/>
      <c r="J2201" s="187"/>
      <c r="K2201" s="187"/>
      <c r="L2201" s="187"/>
      <c r="M2201" s="187"/>
      <c r="N2201" s="187"/>
      <c r="O2201" s="187"/>
      <c r="P2201" s="187"/>
      <c r="Q2201" s="187"/>
      <c r="R2201" s="187"/>
      <c r="S2201" s="188"/>
    </row>
    <row r="2202" spans="2:19" ht="12.75">
      <c r="B2202" s="185"/>
      <c r="C2202" s="186"/>
      <c r="D2202" s="187"/>
      <c r="E2202" s="187"/>
      <c r="F2202" s="187"/>
      <c r="G2202" s="187"/>
      <c r="H2202" s="187"/>
      <c r="I2202" s="187"/>
      <c r="J2202" s="187"/>
      <c r="K2202" s="187"/>
      <c r="L2202" s="187"/>
      <c r="M2202" s="187"/>
      <c r="N2202" s="187"/>
      <c r="O2202" s="187"/>
      <c r="P2202" s="187"/>
      <c r="Q2202" s="187"/>
      <c r="R2202" s="187"/>
      <c r="S2202" s="188"/>
    </row>
    <row r="2203" spans="2:19" ht="12.75">
      <c r="B2203" s="185"/>
      <c r="C2203" s="186"/>
      <c r="D2203" s="187"/>
      <c r="E2203" s="187"/>
      <c r="F2203" s="187"/>
      <c r="G2203" s="187"/>
      <c r="H2203" s="187"/>
      <c r="I2203" s="187"/>
      <c r="J2203" s="187"/>
      <c r="K2203" s="187"/>
      <c r="L2203" s="187"/>
      <c r="M2203" s="187"/>
      <c r="N2203" s="187"/>
      <c r="O2203" s="187"/>
      <c r="P2203" s="187"/>
      <c r="Q2203" s="187"/>
      <c r="R2203" s="187"/>
      <c r="S2203" s="188"/>
    </row>
    <row r="2204" spans="2:19" ht="12.75">
      <c r="B2204" s="185"/>
      <c r="C2204" s="186"/>
      <c r="D2204" s="187"/>
      <c r="E2204" s="187"/>
      <c r="F2204" s="187"/>
      <c r="G2204" s="187"/>
      <c r="H2204" s="187"/>
      <c r="I2204" s="187"/>
      <c r="J2204" s="187"/>
      <c r="K2204" s="187"/>
      <c r="L2204" s="187"/>
      <c r="M2204" s="187"/>
      <c r="N2204" s="187"/>
      <c r="O2204" s="187"/>
      <c r="P2204" s="187"/>
      <c r="Q2204" s="187"/>
      <c r="R2204" s="187"/>
      <c r="S2204" s="188"/>
    </row>
    <row r="2205" spans="2:19" ht="12.75">
      <c r="B2205" s="185"/>
      <c r="C2205" s="186"/>
      <c r="D2205" s="187"/>
      <c r="E2205" s="187"/>
      <c r="F2205" s="187"/>
      <c r="G2205" s="187"/>
      <c r="H2205" s="187"/>
      <c r="I2205" s="187"/>
      <c r="J2205" s="187"/>
      <c r="K2205" s="187"/>
      <c r="L2205" s="187"/>
      <c r="M2205" s="187"/>
      <c r="N2205" s="187"/>
      <c r="O2205" s="187"/>
      <c r="P2205" s="187"/>
      <c r="Q2205" s="187"/>
      <c r="R2205" s="187"/>
      <c r="S2205" s="188"/>
    </row>
    <row r="2206" spans="2:19" ht="12.75">
      <c r="B2206" s="185"/>
      <c r="C2206" s="186"/>
      <c r="D2206" s="187"/>
      <c r="E2206" s="187"/>
      <c r="F2206" s="187"/>
      <c r="G2206" s="187"/>
      <c r="H2206" s="187"/>
      <c r="I2206" s="187"/>
      <c r="J2206" s="187"/>
      <c r="K2206" s="187"/>
      <c r="L2206" s="187"/>
      <c r="M2206" s="187"/>
      <c r="N2206" s="187"/>
      <c r="O2206" s="187"/>
      <c r="P2206" s="187"/>
      <c r="Q2206" s="187"/>
      <c r="R2206" s="187"/>
      <c r="S2206" s="188"/>
    </row>
    <row r="2207" spans="2:19" ht="12.75">
      <c r="B2207" s="185"/>
      <c r="C2207" s="186"/>
      <c r="D2207" s="187"/>
      <c r="E2207" s="187"/>
      <c r="F2207" s="187"/>
      <c r="G2207" s="187"/>
      <c r="H2207" s="187"/>
      <c r="I2207" s="187"/>
      <c r="J2207" s="187"/>
      <c r="K2207" s="187"/>
      <c r="L2207" s="187"/>
      <c r="M2207" s="187"/>
      <c r="N2207" s="187"/>
      <c r="O2207" s="187"/>
      <c r="P2207" s="187"/>
      <c r="Q2207" s="187"/>
      <c r="R2207" s="187"/>
      <c r="S2207" s="188"/>
    </row>
    <row r="2208" spans="2:19" ht="12.75">
      <c r="B2208" s="185"/>
      <c r="C2208" s="186"/>
      <c r="D2208" s="187"/>
      <c r="E2208" s="187"/>
      <c r="F2208" s="187"/>
      <c r="G2208" s="187"/>
      <c r="H2208" s="187"/>
      <c r="I2208" s="187"/>
      <c r="J2208" s="187"/>
      <c r="K2208" s="187"/>
      <c r="L2208" s="187"/>
      <c r="M2208" s="187"/>
      <c r="N2208" s="187"/>
      <c r="O2208" s="187"/>
      <c r="P2208" s="187"/>
      <c r="Q2208" s="187"/>
      <c r="R2208" s="187"/>
      <c r="S2208" s="188"/>
    </row>
    <row r="2209" spans="2:19" ht="12.75">
      <c r="B2209" s="185"/>
      <c r="C2209" s="186"/>
      <c r="D2209" s="187"/>
      <c r="E2209" s="187"/>
      <c r="F2209" s="187"/>
      <c r="G2209" s="187"/>
      <c r="H2209" s="187"/>
      <c r="I2209" s="187"/>
      <c r="J2209" s="187"/>
      <c r="K2209" s="187"/>
      <c r="L2209" s="187"/>
      <c r="M2209" s="187"/>
      <c r="N2209" s="187"/>
      <c r="O2209" s="187"/>
      <c r="P2209" s="187"/>
      <c r="Q2209" s="187"/>
      <c r="R2209" s="187"/>
      <c r="S2209" s="188"/>
    </row>
    <row r="2210" spans="2:19" ht="12.75">
      <c r="B2210" s="185"/>
      <c r="C2210" s="186"/>
      <c r="D2210" s="187"/>
      <c r="E2210" s="187"/>
      <c r="F2210" s="187"/>
      <c r="G2210" s="187"/>
      <c r="H2210" s="187"/>
      <c r="I2210" s="187"/>
      <c r="J2210" s="187"/>
      <c r="K2210" s="187"/>
      <c r="L2210" s="187"/>
      <c r="M2210" s="187"/>
      <c r="N2210" s="187"/>
      <c r="O2210" s="187"/>
      <c r="P2210" s="187"/>
      <c r="Q2210" s="187"/>
      <c r="R2210" s="187"/>
      <c r="S2210" s="188"/>
    </row>
    <row r="2211" spans="2:19" ht="12.75">
      <c r="B2211" s="185"/>
      <c r="C2211" s="186"/>
      <c r="D2211" s="187"/>
      <c r="E2211" s="187"/>
      <c r="F2211" s="187"/>
      <c r="G2211" s="187"/>
      <c r="H2211" s="187"/>
      <c r="I2211" s="187"/>
      <c r="J2211" s="187"/>
      <c r="K2211" s="187"/>
      <c r="L2211" s="187"/>
      <c r="M2211" s="187"/>
      <c r="N2211" s="187"/>
      <c r="O2211" s="187"/>
      <c r="P2211" s="187"/>
      <c r="Q2211" s="187"/>
      <c r="R2211" s="187"/>
      <c r="S2211" s="188"/>
    </row>
    <row r="2212" spans="2:19" ht="12.75">
      <c r="B2212" s="185"/>
      <c r="C2212" s="186"/>
      <c r="D2212" s="187"/>
      <c r="E2212" s="187"/>
      <c r="F2212" s="187"/>
      <c r="G2212" s="187"/>
      <c r="H2212" s="187"/>
      <c r="I2212" s="187"/>
      <c r="J2212" s="187"/>
      <c r="K2212" s="187"/>
      <c r="L2212" s="187"/>
      <c r="M2212" s="187"/>
      <c r="N2212" s="187"/>
      <c r="O2212" s="187"/>
      <c r="P2212" s="187"/>
      <c r="Q2212" s="187"/>
      <c r="R2212" s="187"/>
      <c r="S2212" s="188"/>
    </row>
    <row r="2213" spans="2:19" ht="12.75">
      <c r="B2213" s="185"/>
      <c r="C2213" s="186"/>
      <c r="D2213" s="187"/>
      <c r="E2213" s="187"/>
      <c r="F2213" s="187"/>
      <c r="G2213" s="187"/>
      <c r="H2213" s="187"/>
      <c r="I2213" s="187"/>
      <c r="J2213" s="187"/>
      <c r="K2213" s="187"/>
      <c r="L2213" s="187"/>
      <c r="M2213" s="187"/>
      <c r="N2213" s="187"/>
      <c r="O2213" s="187"/>
      <c r="P2213" s="187"/>
      <c r="Q2213" s="187"/>
      <c r="R2213" s="187"/>
      <c r="S2213" s="188"/>
    </row>
    <row r="2214" spans="2:19" ht="12.75">
      <c r="B2214" s="185"/>
      <c r="C2214" s="186"/>
      <c r="D2214" s="187"/>
      <c r="E2214" s="187"/>
      <c r="F2214" s="187"/>
      <c r="G2214" s="187"/>
      <c r="H2214" s="187"/>
      <c r="I2214" s="187"/>
      <c r="J2214" s="187"/>
      <c r="K2214" s="187"/>
      <c r="L2214" s="187"/>
      <c r="M2214" s="187"/>
      <c r="N2214" s="187"/>
      <c r="O2214" s="187"/>
      <c r="P2214" s="187"/>
      <c r="Q2214" s="187"/>
      <c r="R2214" s="187"/>
      <c r="S2214" s="188"/>
    </row>
    <row r="2215" spans="2:19" ht="12.75">
      <c r="B2215" s="185"/>
      <c r="C2215" s="186"/>
      <c r="D2215" s="187"/>
      <c r="E2215" s="187"/>
      <c r="F2215" s="187"/>
      <c r="G2215" s="187"/>
      <c r="H2215" s="187"/>
      <c r="I2215" s="187"/>
      <c r="J2215" s="187"/>
      <c r="K2215" s="187"/>
      <c r="L2215" s="187"/>
      <c r="M2215" s="187"/>
      <c r="N2215" s="187"/>
      <c r="O2215" s="187"/>
      <c r="P2215" s="187"/>
      <c r="Q2215" s="187"/>
      <c r="R2215" s="187"/>
      <c r="S2215" s="188"/>
    </row>
    <row r="2216" spans="2:19" ht="12.75">
      <c r="B2216" s="185"/>
      <c r="C2216" s="186"/>
      <c r="D2216" s="187"/>
      <c r="E2216" s="187"/>
      <c r="F2216" s="187"/>
      <c r="G2216" s="187"/>
      <c r="H2216" s="187"/>
      <c r="I2216" s="187"/>
      <c r="J2216" s="187"/>
      <c r="K2216" s="187"/>
      <c r="L2216" s="187"/>
      <c r="M2216" s="187"/>
      <c r="N2216" s="187"/>
      <c r="O2216" s="187"/>
      <c r="P2216" s="187"/>
      <c r="Q2216" s="187"/>
      <c r="R2216" s="187"/>
      <c r="S2216" s="188"/>
    </row>
    <row r="2217" spans="2:19" ht="12.75">
      <c r="B2217" s="185"/>
      <c r="C2217" s="186"/>
      <c r="D2217" s="187"/>
      <c r="E2217" s="187"/>
      <c r="F2217" s="187"/>
      <c r="G2217" s="187"/>
      <c r="H2217" s="187"/>
      <c r="I2217" s="187"/>
      <c r="J2217" s="187"/>
      <c r="K2217" s="187"/>
      <c r="L2217" s="187"/>
      <c r="M2217" s="187"/>
      <c r="N2217" s="187"/>
      <c r="O2217" s="187"/>
      <c r="P2217" s="187"/>
      <c r="Q2217" s="187"/>
      <c r="R2217" s="187"/>
      <c r="S2217" s="188"/>
    </row>
    <row r="2218" spans="2:19" ht="12.75">
      <c r="B2218" s="185"/>
      <c r="C2218" s="186"/>
      <c r="D2218" s="187"/>
      <c r="E2218" s="187"/>
      <c r="F2218" s="187"/>
      <c r="G2218" s="187"/>
      <c r="H2218" s="187"/>
      <c r="I2218" s="187"/>
      <c r="J2218" s="187"/>
      <c r="K2218" s="187"/>
      <c r="L2218" s="187"/>
      <c r="M2218" s="187"/>
      <c r="N2218" s="187"/>
      <c r="O2218" s="187"/>
      <c r="P2218" s="187"/>
      <c r="Q2218" s="187"/>
      <c r="R2218" s="187"/>
      <c r="S2218" s="188"/>
    </row>
    <row r="2219" spans="2:19" ht="12.75">
      <c r="B2219" s="185"/>
      <c r="C2219" s="186"/>
      <c r="D2219" s="187"/>
      <c r="E2219" s="187"/>
      <c r="F2219" s="187"/>
      <c r="G2219" s="187"/>
      <c r="H2219" s="187"/>
      <c r="I2219" s="187"/>
      <c r="J2219" s="187"/>
      <c r="K2219" s="187"/>
      <c r="L2219" s="187"/>
      <c r="M2219" s="187"/>
      <c r="N2219" s="187"/>
      <c r="O2219" s="187"/>
      <c r="P2219" s="187"/>
      <c r="Q2219" s="187"/>
      <c r="R2219" s="187"/>
      <c r="S2219" s="188"/>
    </row>
    <row r="2220" spans="2:19" ht="12.75">
      <c r="B2220" s="185"/>
      <c r="C2220" s="186"/>
      <c r="D2220" s="187"/>
      <c r="E2220" s="187"/>
      <c r="F2220" s="187"/>
      <c r="G2220" s="187"/>
      <c r="H2220" s="187"/>
      <c r="I2220" s="187"/>
      <c r="J2220" s="187"/>
      <c r="K2220" s="187"/>
      <c r="L2220" s="187"/>
      <c r="M2220" s="187"/>
      <c r="N2220" s="187"/>
      <c r="O2220" s="187"/>
      <c r="P2220" s="187"/>
      <c r="Q2220" s="187"/>
      <c r="R2220" s="187"/>
      <c r="S2220" s="188"/>
    </row>
    <row r="2221" spans="2:19" ht="12.75">
      <c r="B2221" s="185"/>
      <c r="C2221" s="186"/>
      <c r="D2221" s="187"/>
      <c r="E2221" s="187"/>
      <c r="F2221" s="187"/>
      <c r="G2221" s="187"/>
      <c r="H2221" s="187"/>
      <c r="I2221" s="187"/>
      <c r="J2221" s="187"/>
      <c r="K2221" s="187"/>
      <c r="L2221" s="187"/>
      <c r="M2221" s="187"/>
      <c r="N2221" s="187"/>
      <c r="O2221" s="187"/>
      <c r="P2221" s="187"/>
      <c r="Q2221" s="187"/>
      <c r="R2221" s="187"/>
      <c r="S2221" s="188"/>
    </row>
    <row r="2222" spans="2:19" ht="12.75">
      <c r="B2222" s="185"/>
      <c r="C2222" s="186"/>
      <c r="D2222" s="187"/>
      <c r="E2222" s="187"/>
      <c r="F2222" s="187"/>
      <c r="G2222" s="187"/>
      <c r="H2222" s="187"/>
      <c r="I2222" s="187"/>
      <c r="J2222" s="187"/>
      <c r="K2222" s="187"/>
      <c r="L2222" s="187"/>
      <c r="M2222" s="187"/>
      <c r="N2222" s="187"/>
      <c r="O2222" s="187"/>
      <c r="P2222" s="187"/>
      <c r="Q2222" s="187"/>
      <c r="R2222" s="187"/>
      <c r="S2222" s="188"/>
    </row>
    <row r="2223" spans="2:19" ht="12.75">
      <c r="B2223" s="185"/>
      <c r="C2223" s="186"/>
      <c r="D2223" s="187"/>
      <c r="E2223" s="187"/>
      <c r="F2223" s="187"/>
      <c r="G2223" s="187"/>
      <c r="H2223" s="187"/>
      <c r="I2223" s="187"/>
      <c r="J2223" s="187"/>
      <c r="K2223" s="187"/>
      <c r="L2223" s="187"/>
      <c r="M2223" s="187"/>
      <c r="N2223" s="187"/>
      <c r="O2223" s="187"/>
      <c r="P2223" s="187"/>
      <c r="Q2223" s="187"/>
      <c r="R2223" s="187"/>
      <c r="S2223" s="188"/>
    </row>
    <row r="2224" spans="2:19" ht="12.75">
      <c r="B2224" s="185"/>
      <c r="C2224" s="186"/>
      <c r="D2224" s="187"/>
      <c r="E2224" s="187"/>
      <c r="F2224" s="187"/>
      <c r="G2224" s="187"/>
      <c r="H2224" s="187"/>
      <c r="I2224" s="187"/>
      <c r="J2224" s="187"/>
      <c r="K2224" s="187"/>
      <c r="L2224" s="187"/>
      <c r="M2224" s="187"/>
      <c r="N2224" s="187"/>
      <c r="O2224" s="187"/>
      <c r="P2224" s="187"/>
      <c r="Q2224" s="187"/>
      <c r="R2224" s="187"/>
      <c r="S2224" s="188"/>
    </row>
    <row r="2225" spans="2:19" ht="12.75">
      <c r="B2225" s="185"/>
      <c r="C2225" s="186"/>
      <c r="D2225" s="187"/>
      <c r="E2225" s="187"/>
      <c r="F2225" s="187"/>
      <c r="G2225" s="187"/>
      <c r="H2225" s="187"/>
      <c r="I2225" s="187"/>
      <c r="J2225" s="187"/>
      <c r="K2225" s="187"/>
      <c r="L2225" s="187"/>
      <c r="M2225" s="187"/>
      <c r="N2225" s="187"/>
      <c r="O2225" s="187"/>
      <c r="P2225" s="187"/>
      <c r="Q2225" s="187"/>
      <c r="R2225" s="187"/>
      <c r="S2225" s="188"/>
    </row>
    <row r="2226" spans="2:19" ht="12.75">
      <c r="B2226" s="185"/>
      <c r="C2226" s="186"/>
      <c r="D2226" s="187"/>
      <c r="E2226" s="187"/>
      <c r="F2226" s="187"/>
      <c r="G2226" s="187"/>
      <c r="H2226" s="187"/>
      <c r="I2226" s="187"/>
      <c r="J2226" s="187"/>
      <c r="K2226" s="187"/>
      <c r="L2226" s="187"/>
      <c r="M2226" s="187"/>
      <c r="N2226" s="187"/>
      <c r="O2226" s="187"/>
      <c r="P2226" s="187"/>
      <c r="Q2226" s="187"/>
      <c r="R2226" s="187"/>
      <c r="S2226" s="188"/>
    </row>
    <row r="2227" spans="2:19" ht="12.75">
      <c r="B2227" s="185"/>
      <c r="C2227" s="186"/>
      <c r="D2227" s="187"/>
      <c r="E2227" s="187"/>
      <c r="F2227" s="187"/>
      <c r="G2227" s="187"/>
      <c r="H2227" s="187"/>
      <c r="I2227" s="187"/>
      <c r="J2227" s="187"/>
      <c r="K2227" s="187"/>
      <c r="L2227" s="187"/>
      <c r="M2227" s="187"/>
      <c r="N2227" s="187"/>
      <c r="O2227" s="187"/>
      <c r="P2227" s="187"/>
      <c r="Q2227" s="187"/>
      <c r="R2227" s="187"/>
      <c r="S2227" s="188"/>
    </row>
    <row r="2228" spans="2:19" ht="12.75">
      <c r="B2228" s="185"/>
      <c r="C2228" s="186"/>
      <c r="D2228" s="187"/>
      <c r="E2228" s="187"/>
      <c r="F2228" s="187"/>
      <c r="G2228" s="187"/>
      <c r="H2228" s="187"/>
      <c r="I2228" s="187"/>
      <c r="J2228" s="187"/>
      <c r="K2228" s="187"/>
      <c r="L2228" s="187"/>
      <c r="M2228" s="187"/>
      <c r="N2228" s="187"/>
      <c r="O2228" s="187"/>
      <c r="P2228" s="187"/>
      <c r="Q2228" s="187"/>
      <c r="R2228" s="187"/>
      <c r="S2228" s="188"/>
    </row>
    <row r="2229" spans="2:19" ht="12.75">
      <c r="B2229" s="185"/>
      <c r="C2229" s="186"/>
      <c r="D2229" s="187"/>
      <c r="E2229" s="187"/>
      <c r="F2229" s="187"/>
      <c r="G2229" s="187"/>
      <c r="H2229" s="187"/>
      <c r="I2229" s="187"/>
      <c r="J2229" s="187"/>
      <c r="K2229" s="187"/>
      <c r="L2229" s="187"/>
      <c r="M2229" s="187"/>
      <c r="N2229" s="187"/>
      <c r="O2229" s="187"/>
      <c r="P2229" s="187"/>
      <c r="Q2229" s="187"/>
      <c r="R2229" s="187"/>
      <c r="S2229" s="188"/>
    </row>
    <row r="2230" spans="2:19" ht="12.75">
      <c r="B2230" s="185"/>
      <c r="C2230" s="186"/>
      <c r="D2230" s="187"/>
      <c r="E2230" s="187"/>
      <c r="F2230" s="187"/>
      <c r="G2230" s="187"/>
      <c r="H2230" s="187"/>
      <c r="I2230" s="187"/>
      <c r="J2230" s="187"/>
      <c r="K2230" s="187"/>
      <c r="L2230" s="187"/>
      <c r="M2230" s="187"/>
      <c r="N2230" s="187"/>
      <c r="O2230" s="187"/>
      <c r="P2230" s="187"/>
      <c r="Q2230" s="187"/>
      <c r="R2230" s="187"/>
      <c r="S2230" s="188"/>
    </row>
    <row r="2231" spans="2:19" ht="12.75">
      <c r="B2231" s="185"/>
      <c r="C2231" s="186"/>
      <c r="D2231" s="187"/>
      <c r="E2231" s="187"/>
      <c r="F2231" s="187"/>
      <c r="G2231" s="187"/>
      <c r="H2231" s="187"/>
      <c r="I2231" s="187"/>
      <c r="J2231" s="187"/>
      <c r="K2231" s="187"/>
      <c r="L2231" s="187"/>
      <c r="M2231" s="187"/>
      <c r="N2231" s="187"/>
      <c r="O2231" s="187"/>
      <c r="P2231" s="187"/>
      <c r="Q2231" s="187"/>
      <c r="R2231" s="187"/>
      <c r="S2231" s="188"/>
    </row>
    <row r="2232" spans="2:19" ht="12.75">
      <c r="B2232" s="185"/>
      <c r="C2232" s="186"/>
      <c r="D2232" s="187"/>
      <c r="E2232" s="187"/>
      <c r="F2232" s="187"/>
      <c r="G2232" s="187"/>
      <c r="H2232" s="187"/>
      <c r="I2232" s="187"/>
      <c r="J2232" s="187"/>
      <c r="K2232" s="187"/>
      <c r="L2232" s="187"/>
      <c r="M2232" s="187"/>
      <c r="N2232" s="187"/>
      <c r="O2232" s="187"/>
      <c r="P2232" s="187"/>
      <c r="Q2232" s="187"/>
      <c r="R2232" s="187"/>
      <c r="S2232" s="188"/>
    </row>
    <row r="2233" spans="2:19" ht="12.75">
      <c r="B2233" s="185"/>
      <c r="C2233" s="186"/>
      <c r="D2233" s="187"/>
      <c r="E2233" s="187"/>
      <c r="F2233" s="187"/>
      <c r="G2233" s="187"/>
      <c r="H2233" s="187"/>
      <c r="I2233" s="187"/>
      <c r="J2233" s="187"/>
      <c r="K2233" s="187"/>
      <c r="L2233" s="187"/>
      <c r="M2233" s="187"/>
      <c r="N2233" s="187"/>
      <c r="O2233" s="187"/>
      <c r="P2233" s="187"/>
      <c r="Q2233" s="187"/>
      <c r="R2233" s="187"/>
      <c r="S2233" s="188"/>
    </row>
    <row r="2234" spans="2:19" ht="12.75">
      <c r="B2234" s="185"/>
      <c r="C2234" s="186"/>
      <c r="D2234" s="187"/>
      <c r="E2234" s="187"/>
      <c r="F2234" s="187"/>
      <c r="G2234" s="187"/>
      <c r="H2234" s="187"/>
      <c r="I2234" s="187"/>
      <c r="J2234" s="187"/>
      <c r="K2234" s="187"/>
      <c r="L2234" s="187"/>
      <c r="M2234" s="187"/>
      <c r="N2234" s="187"/>
      <c r="O2234" s="187"/>
      <c r="P2234" s="187"/>
      <c r="Q2234" s="187"/>
      <c r="R2234" s="187"/>
      <c r="S2234" s="188"/>
    </row>
    <row r="2235" spans="2:19" ht="12.75">
      <c r="B2235" s="185"/>
      <c r="C2235" s="186"/>
      <c r="D2235" s="187"/>
      <c r="E2235" s="187"/>
      <c r="F2235" s="187"/>
      <c r="G2235" s="187"/>
      <c r="H2235" s="187"/>
      <c r="I2235" s="187"/>
      <c r="J2235" s="187"/>
      <c r="K2235" s="187"/>
      <c r="L2235" s="187"/>
      <c r="M2235" s="187"/>
      <c r="N2235" s="187"/>
      <c r="O2235" s="187"/>
      <c r="P2235" s="187"/>
      <c r="Q2235" s="187"/>
      <c r="R2235" s="187"/>
      <c r="S2235" s="188"/>
    </row>
    <row r="2236" spans="2:19" ht="12.75">
      <c r="B2236" s="185"/>
      <c r="C2236" s="186"/>
      <c r="D2236" s="187"/>
      <c r="E2236" s="187"/>
      <c r="F2236" s="187"/>
      <c r="G2236" s="187"/>
      <c r="H2236" s="187"/>
      <c r="I2236" s="187"/>
      <c r="J2236" s="187"/>
      <c r="K2236" s="187"/>
      <c r="L2236" s="187"/>
      <c r="M2236" s="187"/>
      <c r="N2236" s="187"/>
      <c r="O2236" s="187"/>
      <c r="P2236" s="187"/>
      <c r="Q2236" s="187"/>
      <c r="R2236" s="187"/>
      <c r="S2236" s="188"/>
    </row>
    <row r="2237" spans="2:19" ht="12.75">
      <c r="B2237" s="185"/>
      <c r="C2237" s="186"/>
      <c r="D2237" s="187"/>
      <c r="E2237" s="187"/>
      <c r="F2237" s="187"/>
      <c r="G2237" s="187"/>
      <c r="H2237" s="187"/>
      <c r="I2237" s="187"/>
      <c r="J2237" s="187"/>
      <c r="K2237" s="187"/>
      <c r="L2237" s="187"/>
      <c r="M2237" s="187"/>
      <c r="N2237" s="187"/>
      <c r="O2237" s="187"/>
      <c r="P2237" s="187"/>
      <c r="Q2237" s="187"/>
      <c r="R2237" s="187"/>
      <c r="S2237" s="188"/>
    </row>
    <row r="2238" spans="2:19" ht="12.75">
      <c r="B2238" s="185"/>
      <c r="C2238" s="186"/>
      <c r="D2238" s="187"/>
      <c r="E2238" s="187"/>
      <c r="F2238" s="187"/>
      <c r="G2238" s="187"/>
      <c r="H2238" s="187"/>
      <c r="I2238" s="187"/>
      <c r="J2238" s="187"/>
      <c r="K2238" s="187"/>
      <c r="L2238" s="187"/>
      <c r="M2238" s="187"/>
      <c r="N2238" s="187"/>
      <c r="O2238" s="187"/>
      <c r="P2238" s="187"/>
      <c r="Q2238" s="187"/>
      <c r="R2238" s="187"/>
      <c r="S2238" s="188"/>
    </row>
    <row r="2239" spans="2:19" ht="12.75">
      <c r="B2239" s="185"/>
      <c r="C2239" s="186"/>
      <c r="D2239" s="187"/>
      <c r="E2239" s="187"/>
      <c r="F2239" s="187"/>
      <c r="G2239" s="187"/>
      <c r="H2239" s="187"/>
      <c r="I2239" s="187"/>
      <c r="J2239" s="187"/>
      <c r="K2239" s="187"/>
      <c r="L2239" s="187"/>
      <c r="M2239" s="187"/>
      <c r="N2239" s="187"/>
      <c r="O2239" s="187"/>
      <c r="P2239" s="187"/>
      <c r="Q2239" s="187"/>
      <c r="R2239" s="187"/>
      <c r="S2239" s="188"/>
    </row>
    <row r="2240" spans="2:19" ht="12.75">
      <c r="B2240" s="185"/>
      <c r="C2240" s="186"/>
      <c r="D2240" s="187"/>
      <c r="E2240" s="187"/>
      <c r="F2240" s="187"/>
      <c r="G2240" s="187"/>
      <c r="H2240" s="187"/>
      <c r="I2240" s="187"/>
      <c r="J2240" s="187"/>
      <c r="K2240" s="187"/>
      <c r="L2240" s="187"/>
      <c r="M2240" s="187"/>
      <c r="N2240" s="187"/>
      <c r="O2240" s="187"/>
      <c r="P2240" s="187"/>
      <c r="Q2240" s="187"/>
      <c r="R2240" s="187"/>
      <c r="S2240" s="188"/>
    </row>
    <row r="2241" spans="2:19" ht="12.75">
      <c r="B2241" s="185"/>
      <c r="C2241" s="186"/>
      <c r="D2241" s="187"/>
      <c r="E2241" s="187"/>
      <c r="F2241" s="187"/>
      <c r="G2241" s="187"/>
      <c r="H2241" s="187"/>
      <c r="I2241" s="187"/>
      <c r="J2241" s="187"/>
      <c r="K2241" s="187"/>
      <c r="L2241" s="187"/>
      <c r="M2241" s="187"/>
      <c r="N2241" s="187"/>
      <c r="O2241" s="187"/>
      <c r="P2241" s="187"/>
      <c r="Q2241" s="187"/>
      <c r="R2241" s="187"/>
      <c r="S2241" s="188"/>
    </row>
    <row r="2242" spans="2:19" ht="12.75">
      <c r="B2242" s="185"/>
      <c r="C2242" s="186"/>
      <c r="D2242" s="187"/>
      <c r="E2242" s="187"/>
      <c r="F2242" s="187"/>
      <c r="G2242" s="187"/>
      <c r="H2242" s="187"/>
      <c r="I2242" s="187"/>
      <c r="J2242" s="187"/>
      <c r="K2242" s="187"/>
      <c r="L2242" s="187"/>
      <c r="M2242" s="187"/>
      <c r="N2242" s="187"/>
      <c r="O2242" s="187"/>
      <c r="P2242" s="187"/>
      <c r="Q2242" s="187"/>
      <c r="R2242" s="187"/>
      <c r="S2242" s="188"/>
    </row>
    <row r="2243" spans="2:19" ht="12.75">
      <c r="B2243" s="185"/>
      <c r="C2243" s="186"/>
      <c r="D2243" s="187"/>
      <c r="E2243" s="187"/>
      <c r="F2243" s="187"/>
      <c r="G2243" s="187"/>
      <c r="H2243" s="187"/>
      <c r="I2243" s="187"/>
      <c r="J2243" s="187"/>
      <c r="K2243" s="187"/>
      <c r="L2243" s="187"/>
      <c r="M2243" s="187"/>
      <c r="N2243" s="187"/>
      <c r="O2243" s="187"/>
      <c r="P2243" s="187"/>
      <c r="Q2243" s="187"/>
      <c r="R2243" s="187"/>
      <c r="S2243" s="188"/>
    </row>
    <row r="2244" spans="2:19" ht="12.75">
      <c r="B2244" s="185"/>
      <c r="C2244" s="186"/>
      <c r="D2244" s="187"/>
      <c r="E2244" s="187"/>
      <c r="F2244" s="187"/>
      <c r="G2244" s="187"/>
      <c r="H2244" s="187"/>
      <c r="I2244" s="187"/>
      <c r="J2244" s="187"/>
      <c r="K2244" s="187"/>
      <c r="L2244" s="187"/>
      <c r="M2244" s="187"/>
      <c r="N2244" s="187"/>
      <c r="O2244" s="187"/>
      <c r="P2244" s="187"/>
      <c r="Q2244" s="187"/>
      <c r="R2244" s="187"/>
      <c r="S2244" s="188"/>
    </row>
    <row r="2245" spans="2:19" ht="12.75">
      <c r="B2245" s="185"/>
      <c r="C2245" s="186"/>
      <c r="D2245" s="187"/>
      <c r="E2245" s="187"/>
      <c r="F2245" s="187"/>
      <c r="G2245" s="187"/>
      <c r="H2245" s="187"/>
      <c r="I2245" s="187"/>
      <c r="J2245" s="187"/>
      <c r="K2245" s="187"/>
      <c r="L2245" s="187"/>
      <c r="M2245" s="187"/>
      <c r="N2245" s="187"/>
      <c r="O2245" s="187"/>
      <c r="P2245" s="187"/>
      <c r="Q2245" s="187"/>
      <c r="R2245" s="187"/>
      <c r="S2245" s="188"/>
    </row>
    <row r="2246" spans="2:19" ht="12.75">
      <c r="B2246" s="185"/>
      <c r="C2246" s="186"/>
      <c r="D2246" s="187"/>
      <c r="E2246" s="187"/>
      <c r="F2246" s="187"/>
      <c r="G2246" s="187"/>
      <c r="H2246" s="187"/>
      <c r="I2246" s="187"/>
      <c r="J2246" s="187"/>
      <c r="K2246" s="187"/>
      <c r="L2246" s="187"/>
      <c r="M2246" s="187"/>
      <c r="N2246" s="187"/>
      <c r="O2246" s="187"/>
      <c r="P2246" s="187"/>
      <c r="Q2246" s="187"/>
      <c r="R2246" s="187"/>
      <c r="S2246" s="188"/>
    </row>
    <row r="2247" spans="2:19" ht="12.75">
      <c r="B2247" s="185"/>
      <c r="C2247" s="186"/>
      <c r="D2247" s="187"/>
      <c r="E2247" s="187"/>
      <c r="F2247" s="187"/>
      <c r="G2247" s="187"/>
      <c r="H2247" s="187"/>
      <c r="I2247" s="187"/>
      <c r="J2247" s="187"/>
      <c r="K2247" s="187"/>
      <c r="L2247" s="187"/>
      <c r="M2247" s="187"/>
      <c r="N2247" s="187"/>
      <c r="O2247" s="187"/>
      <c r="P2247" s="187"/>
      <c r="Q2247" s="187"/>
      <c r="R2247" s="187"/>
      <c r="S2247" s="188"/>
    </row>
    <row r="2248" spans="2:19" ht="12.75">
      <c r="B2248" s="185"/>
      <c r="C2248" s="186"/>
      <c r="D2248" s="187"/>
      <c r="E2248" s="187"/>
      <c r="F2248" s="187"/>
      <c r="G2248" s="187"/>
      <c r="H2248" s="187"/>
      <c r="I2248" s="187"/>
      <c r="J2248" s="187"/>
      <c r="K2248" s="187"/>
      <c r="L2248" s="187"/>
      <c r="M2248" s="187"/>
      <c r="N2248" s="187"/>
      <c r="O2248" s="187"/>
      <c r="P2248" s="187"/>
      <c r="Q2248" s="187"/>
      <c r="R2248" s="187"/>
      <c r="S2248" s="188"/>
    </row>
    <row r="2249" spans="2:19" ht="12.75">
      <c r="B2249" s="185"/>
      <c r="C2249" s="186"/>
      <c r="D2249" s="187"/>
      <c r="E2249" s="187"/>
      <c r="F2249" s="187"/>
      <c r="G2249" s="187"/>
      <c r="H2249" s="187"/>
      <c r="I2249" s="187"/>
      <c r="J2249" s="187"/>
      <c r="K2249" s="187"/>
      <c r="L2249" s="187"/>
      <c r="M2249" s="187"/>
      <c r="N2249" s="187"/>
      <c r="O2249" s="187"/>
      <c r="P2249" s="187"/>
      <c r="Q2249" s="187"/>
      <c r="R2249" s="187"/>
      <c r="S2249" s="188"/>
    </row>
    <row r="2250" spans="2:19" ht="12.75">
      <c r="B2250" s="185"/>
      <c r="C2250" s="186"/>
      <c r="D2250" s="187"/>
      <c r="E2250" s="187"/>
      <c r="F2250" s="187"/>
      <c r="G2250" s="187"/>
      <c r="H2250" s="187"/>
      <c r="I2250" s="187"/>
      <c r="J2250" s="187"/>
      <c r="K2250" s="187"/>
      <c r="L2250" s="187"/>
      <c r="M2250" s="187"/>
      <c r="N2250" s="187"/>
      <c r="O2250" s="187"/>
      <c r="P2250" s="187"/>
      <c r="Q2250" s="187"/>
      <c r="R2250" s="187"/>
      <c r="S2250" s="188"/>
    </row>
    <row r="2251" spans="2:19" ht="12.75">
      <c r="B2251" s="185"/>
      <c r="C2251" s="186"/>
      <c r="D2251" s="187"/>
      <c r="E2251" s="187"/>
      <c r="F2251" s="187"/>
      <c r="G2251" s="187"/>
      <c r="H2251" s="187"/>
      <c r="I2251" s="187"/>
      <c r="J2251" s="187"/>
      <c r="K2251" s="187"/>
      <c r="L2251" s="187"/>
      <c r="M2251" s="187"/>
      <c r="N2251" s="187"/>
      <c r="O2251" s="187"/>
      <c r="P2251" s="187"/>
      <c r="Q2251" s="187"/>
      <c r="R2251" s="187"/>
      <c r="S2251" s="188"/>
    </row>
    <row r="2252" spans="2:19" ht="12.75">
      <c r="B2252" s="185"/>
      <c r="C2252" s="186"/>
      <c r="D2252" s="187"/>
      <c r="E2252" s="187"/>
      <c r="F2252" s="187"/>
      <c r="G2252" s="187"/>
      <c r="H2252" s="187"/>
      <c r="I2252" s="187"/>
      <c r="J2252" s="187"/>
      <c r="K2252" s="187"/>
      <c r="L2252" s="187"/>
      <c r="M2252" s="187"/>
      <c r="N2252" s="187"/>
      <c r="O2252" s="187"/>
      <c r="P2252" s="187"/>
      <c r="Q2252" s="187"/>
      <c r="R2252" s="187"/>
      <c r="S2252" s="188"/>
    </row>
    <row r="2253" spans="2:19" ht="12.75">
      <c r="B2253" s="185"/>
      <c r="C2253" s="186"/>
      <c r="D2253" s="187"/>
      <c r="E2253" s="187"/>
      <c r="F2253" s="187"/>
      <c r="G2253" s="187"/>
      <c r="H2253" s="187"/>
      <c r="I2253" s="187"/>
      <c r="J2253" s="187"/>
      <c r="K2253" s="187"/>
      <c r="L2253" s="187"/>
      <c r="M2253" s="187"/>
      <c r="N2253" s="187"/>
      <c r="O2253" s="187"/>
      <c r="P2253" s="187"/>
      <c r="Q2253" s="187"/>
      <c r="R2253" s="187"/>
      <c r="S2253" s="188"/>
    </row>
    <row r="2254" spans="2:19" ht="12.75">
      <c r="B2254" s="185"/>
      <c r="C2254" s="186"/>
      <c r="D2254" s="187"/>
      <c r="E2254" s="187"/>
      <c r="F2254" s="187"/>
      <c r="G2254" s="187"/>
      <c r="H2254" s="187"/>
      <c r="I2254" s="187"/>
      <c r="J2254" s="187"/>
      <c r="K2254" s="187"/>
      <c r="L2254" s="187"/>
      <c r="M2254" s="187"/>
      <c r="N2254" s="187"/>
      <c r="O2254" s="187"/>
      <c r="P2254" s="187"/>
      <c r="Q2254" s="187"/>
      <c r="R2254" s="187"/>
      <c r="S2254" s="188"/>
    </row>
    <row r="2255" spans="2:19" ht="12.75">
      <c r="B2255" s="185"/>
      <c r="C2255" s="186"/>
      <c r="D2255" s="187"/>
      <c r="E2255" s="187"/>
      <c r="F2255" s="187"/>
      <c r="G2255" s="187"/>
      <c r="H2255" s="187"/>
      <c r="I2255" s="187"/>
      <c r="J2255" s="187"/>
      <c r="K2255" s="187"/>
      <c r="L2255" s="187"/>
      <c r="M2255" s="187"/>
      <c r="N2255" s="187"/>
      <c r="O2255" s="187"/>
      <c r="P2255" s="187"/>
      <c r="Q2255" s="187"/>
      <c r="R2255" s="187"/>
      <c r="S2255" s="188"/>
    </row>
    <row r="2256" spans="2:19" ht="12.75">
      <c r="B2256" s="185"/>
      <c r="C2256" s="186"/>
      <c r="D2256" s="187"/>
      <c r="E2256" s="187"/>
      <c r="F2256" s="187"/>
      <c r="G2256" s="187"/>
      <c r="H2256" s="187"/>
      <c r="I2256" s="187"/>
      <c r="J2256" s="187"/>
      <c r="K2256" s="187"/>
      <c r="L2256" s="187"/>
      <c r="M2256" s="187"/>
      <c r="N2256" s="187"/>
      <c r="O2256" s="187"/>
      <c r="P2256" s="187"/>
      <c r="Q2256" s="187"/>
      <c r="R2256" s="187"/>
      <c r="S2256" s="188"/>
    </row>
    <row r="2257" spans="2:19" ht="12.75">
      <c r="B2257" s="185"/>
      <c r="C2257" s="186"/>
      <c r="D2257" s="187"/>
      <c r="E2257" s="187"/>
      <c r="F2257" s="187"/>
      <c r="G2257" s="187"/>
      <c r="H2257" s="187"/>
      <c r="I2257" s="187"/>
      <c r="J2257" s="187"/>
      <c r="K2257" s="187"/>
      <c r="L2257" s="187"/>
      <c r="M2257" s="187"/>
      <c r="N2257" s="187"/>
      <c r="O2257" s="187"/>
      <c r="P2257" s="187"/>
      <c r="Q2257" s="187"/>
      <c r="R2257" s="187"/>
      <c r="S2257" s="188"/>
    </row>
    <row r="2258" spans="2:19" ht="12.75">
      <c r="B2258" s="185"/>
      <c r="C2258" s="186"/>
      <c r="D2258" s="187"/>
      <c r="E2258" s="187"/>
      <c r="F2258" s="187"/>
      <c r="G2258" s="187"/>
      <c r="H2258" s="187"/>
      <c r="I2258" s="187"/>
      <c r="J2258" s="187"/>
      <c r="K2258" s="187"/>
      <c r="L2258" s="187"/>
      <c r="M2258" s="187"/>
      <c r="N2258" s="187"/>
      <c r="O2258" s="187"/>
      <c r="P2258" s="187"/>
      <c r="Q2258" s="187"/>
      <c r="R2258" s="187"/>
      <c r="S2258" s="188"/>
    </row>
    <row r="2259" spans="2:19" ht="12.75">
      <c r="B2259" s="185"/>
      <c r="C2259" s="186"/>
      <c r="D2259" s="187"/>
      <c r="E2259" s="187"/>
      <c r="F2259" s="187"/>
      <c r="G2259" s="187"/>
      <c r="H2259" s="187"/>
      <c r="I2259" s="187"/>
      <c r="J2259" s="187"/>
      <c r="K2259" s="187"/>
      <c r="L2259" s="187"/>
      <c r="M2259" s="187"/>
      <c r="N2259" s="187"/>
      <c r="O2259" s="187"/>
      <c r="P2259" s="187"/>
      <c r="Q2259" s="187"/>
      <c r="R2259" s="187"/>
      <c r="S2259" s="188"/>
    </row>
    <row r="2260" spans="2:19" ht="12.75">
      <c r="B2260" s="185"/>
      <c r="C2260" s="186"/>
      <c r="D2260" s="187"/>
      <c r="E2260" s="187"/>
      <c r="F2260" s="187"/>
      <c r="G2260" s="187"/>
      <c r="H2260" s="187"/>
      <c r="I2260" s="187"/>
      <c r="J2260" s="187"/>
      <c r="K2260" s="187"/>
      <c r="L2260" s="187"/>
      <c r="M2260" s="187"/>
      <c r="N2260" s="187"/>
      <c r="O2260" s="187"/>
      <c r="P2260" s="187"/>
      <c r="Q2260" s="187"/>
      <c r="R2260" s="187"/>
      <c r="S2260" s="188"/>
    </row>
    <row r="2261" spans="2:19" ht="12.75">
      <c r="B2261" s="185"/>
      <c r="C2261" s="186"/>
      <c r="D2261" s="187"/>
      <c r="E2261" s="187"/>
      <c r="F2261" s="187"/>
      <c r="G2261" s="187"/>
      <c r="H2261" s="187"/>
      <c r="I2261" s="187"/>
      <c r="J2261" s="187"/>
      <c r="K2261" s="187"/>
      <c r="L2261" s="187"/>
      <c r="M2261" s="187"/>
      <c r="N2261" s="187"/>
      <c r="O2261" s="187"/>
      <c r="P2261" s="187"/>
      <c r="Q2261" s="187"/>
      <c r="R2261" s="187"/>
      <c r="S2261" s="188"/>
    </row>
    <row r="2262" spans="2:19" ht="12.75">
      <c r="B2262" s="185"/>
      <c r="C2262" s="186"/>
      <c r="D2262" s="187"/>
      <c r="E2262" s="187"/>
      <c r="F2262" s="187"/>
      <c r="G2262" s="187"/>
      <c r="H2262" s="187"/>
      <c r="I2262" s="187"/>
      <c r="J2262" s="187"/>
      <c r="K2262" s="187"/>
      <c r="L2262" s="187"/>
      <c r="M2262" s="187"/>
      <c r="N2262" s="187"/>
      <c r="O2262" s="187"/>
      <c r="P2262" s="187"/>
      <c r="Q2262" s="187"/>
      <c r="R2262" s="187"/>
      <c r="S2262" s="188"/>
    </row>
    <row r="2263" spans="2:19" ht="12.75">
      <c r="B2263" s="185"/>
      <c r="C2263" s="186"/>
      <c r="D2263" s="187"/>
      <c r="E2263" s="187"/>
      <c r="F2263" s="187"/>
      <c r="G2263" s="187"/>
      <c r="H2263" s="187"/>
      <c r="I2263" s="187"/>
      <c r="J2263" s="187"/>
      <c r="K2263" s="187"/>
      <c r="L2263" s="187"/>
      <c r="M2263" s="187"/>
      <c r="N2263" s="187"/>
      <c r="O2263" s="187"/>
      <c r="P2263" s="187"/>
      <c r="Q2263" s="187"/>
      <c r="R2263" s="187"/>
      <c r="S2263" s="188"/>
    </row>
    <row r="2264" spans="2:19" ht="12.75">
      <c r="B2264" s="185"/>
      <c r="C2264" s="186"/>
      <c r="D2264" s="187"/>
      <c r="E2264" s="187"/>
      <c r="F2264" s="187"/>
      <c r="G2264" s="187"/>
      <c r="H2264" s="187"/>
      <c r="I2264" s="187"/>
      <c r="J2264" s="187"/>
      <c r="K2264" s="187"/>
      <c r="L2264" s="187"/>
      <c r="M2264" s="187"/>
      <c r="N2264" s="187"/>
      <c r="O2264" s="187"/>
      <c r="P2264" s="187"/>
      <c r="Q2264" s="187"/>
      <c r="R2264" s="187"/>
      <c r="S2264" s="188"/>
    </row>
    <row r="2265" spans="2:19" ht="12.75">
      <c r="B2265" s="185"/>
      <c r="C2265" s="186"/>
      <c r="D2265" s="187"/>
      <c r="E2265" s="187"/>
      <c r="F2265" s="187"/>
      <c r="G2265" s="187"/>
      <c r="H2265" s="187"/>
      <c r="I2265" s="187"/>
      <c r="J2265" s="187"/>
      <c r="K2265" s="187"/>
      <c r="L2265" s="187"/>
      <c r="M2265" s="187"/>
      <c r="N2265" s="187"/>
      <c r="O2265" s="187"/>
      <c r="P2265" s="187"/>
      <c r="Q2265" s="187"/>
      <c r="R2265" s="187"/>
      <c r="S2265" s="188"/>
    </row>
    <row r="2266" spans="2:19" ht="12.75">
      <c r="B2266" s="185"/>
      <c r="C2266" s="186"/>
      <c r="D2266" s="187"/>
      <c r="E2266" s="187"/>
      <c r="F2266" s="187"/>
      <c r="G2266" s="187"/>
      <c r="H2266" s="187"/>
      <c r="I2266" s="187"/>
      <c r="J2266" s="187"/>
      <c r="K2266" s="187"/>
      <c r="L2266" s="187"/>
      <c r="M2266" s="187"/>
      <c r="N2266" s="187"/>
      <c r="O2266" s="187"/>
      <c r="P2266" s="187"/>
      <c r="Q2266" s="187"/>
      <c r="R2266" s="187"/>
      <c r="S2266" s="188"/>
    </row>
    <row r="2267" spans="2:19" ht="12.75">
      <c r="B2267" s="185"/>
      <c r="C2267" s="186"/>
      <c r="D2267" s="187"/>
      <c r="E2267" s="187"/>
      <c r="F2267" s="187"/>
      <c r="G2267" s="187"/>
      <c r="H2267" s="187"/>
      <c r="I2267" s="187"/>
      <c r="J2267" s="187"/>
      <c r="K2267" s="187"/>
      <c r="L2267" s="187"/>
      <c r="M2267" s="187"/>
      <c r="N2267" s="187"/>
      <c r="O2267" s="187"/>
      <c r="P2267" s="187"/>
      <c r="Q2267" s="187"/>
      <c r="R2267" s="187"/>
      <c r="S2267" s="188"/>
    </row>
    <row r="2268" spans="2:19" ht="12.75">
      <c r="B2268" s="185"/>
      <c r="C2268" s="186"/>
      <c r="D2268" s="187"/>
      <c r="E2268" s="187"/>
      <c r="F2268" s="187"/>
      <c r="G2268" s="187"/>
      <c r="H2268" s="187"/>
      <c r="I2268" s="187"/>
      <c r="J2268" s="187"/>
      <c r="K2268" s="187"/>
      <c r="L2268" s="187"/>
      <c r="M2268" s="187"/>
      <c r="N2268" s="187"/>
      <c r="O2268" s="187"/>
      <c r="P2268" s="187"/>
      <c r="Q2268" s="187"/>
      <c r="R2268" s="187"/>
      <c r="S2268" s="188"/>
    </row>
    <row r="2269" spans="2:19" ht="12.75">
      <c r="B2269" s="185"/>
      <c r="C2269" s="186"/>
      <c r="D2269" s="187"/>
      <c r="E2269" s="187"/>
      <c r="F2269" s="187"/>
      <c r="G2269" s="187"/>
      <c r="H2269" s="187"/>
      <c r="I2269" s="187"/>
      <c r="J2269" s="187"/>
      <c r="K2269" s="187"/>
      <c r="L2269" s="187"/>
      <c r="M2269" s="187"/>
      <c r="N2269" s="187"/>
      <c r="O2269" s="187"/>
      <c r="P2269" s="187"/>
      <c r="Q2269" s="187"/>
      <c r="R2269" s="187"/>
      <c r="S2269" s="188"/>
    </row>
    <row r="2270" spans="2:19" ht="12.75">
      <c r="B2270" s="185"/>
      <c r="C2270" s="186"/>
      <c r="D2270" s="187"/>
      <c r="E2270" s="187"/>
      <c r="F2270" s="187"/>
      <c r="G2270" s="187"/>
      <c r="H2270" s="187"/>
      <c r="I2270" s="187"/>
      <c r="J2270" s="187"/>
      <c r="K2270" s="187"/>
      <c r="L2270" s="187"/>
      <c r="M2270" s="187"/>
      <c r="N2270" s="187"/>
      <c r="O2270" s="187"/>
      <c r="P2270" s="187"/>
      <c r="Q2270" s="187"/>
      <c r="R2270" s="187"/>
      <c r="S2270" s="188"/>
    </row>
    <row r="2271" spans="2:19" ht="12.75">
      <c r="B2271" s="185"/>
      <c r="C2271" s="186"/>
      <c r="D2271" s="187"/>
      <c r="E2271" s="187"/>
      <c r="F2271" s="187"/>
      <c r="G2271" s="187"/>
      <c r="H2271" s="187"/>
      <c r="I2271" s="187"/>
      <c r="J2271" s="187"/>
      <c r="K2271" s="187"/>
      <c r="L2271" s="187"/>
      <c r="M2271" s="187"/>
      <c r="N2271" s="187"/>
      <c r="O2271" s="187"/>
      <c r="P2271" s="187"/>
      <c r="Q2271" s="187"/>
      <c r="R2271" s="187"/>
      <c r="S2271" s="188"/>
    </row>
    <row r="2272" spans="2:19" ht="12.75">
      <c r="B2272" s="185"/>
      <c r="C2272" s="186"/>
      <c r="D2272" s="187"/>
      <c r="E2272" s="187"/>
      <c r="F2272" s="187"/>
      <c r="G2272" s="187"/>
      <c r="H2272" s="187"/>
      <c r="I2272" s="187"/>
      <c r="J2272" s="187"/>
      <c r="K2272" s="187"/>
      <c r="L2272" s="187"/>
      <c r="M2272" s="187"/>
      <c r="N2272" s="187"/>
      <c r="O2272" s="187"/>
      <c r="P2272" s="187"/>
      <c r="Q2272" s="187"/>
      <c r="R2272" s="187"/>
      <c r="S2272" s="188"/>
    </row>
    <row r="2273" spans="2:19" ht="12.75">
      <c r="B2273" s="185"/>
      <c r="C2273" s="186"/>
      <c r="D2273" s="187"/>
      <c r="E2273" s="187"/>
      <c r="F2273" s="187"/>
      <c r="G2273" s="187"/>
      <c r="H2273" s="187"/>
      <c r="I2273" s="187"/>
      <c r="J2273" s="187"/>
      <c r="K2273" s="187"/>
      <c r="L2273" s="187"/>
      <c r="M2273" s="187"/>
      <c r="N2273" s="187"/>
      <c r="O2273" s="187"/>
      <c r="P2273" s="187"/>
      <c r="Q2273" s="187"/>
      <c r="R2273" s="187"/>
      <c r="S2273" s="188"/>
    </row>
    <row r="2274" spans="2:19" ht="12.75">
      <c r="B2274" s="185"/>
      <c r="C2274" s="186"/>
      <c r="D2274" s="187"/>
      <c r="E2274" s="187"/>
      <c r="F2274" s="187"/>
      <c r="G2274" s="187"/>
      <c r="H2274" s="187"/>
      <c r="I2274" s="187"/>
      <c r="J2274" s="187"/>
      <c r="K2274" s="187"/>
      <c r="L2274" s="187"/>
      <c r="M2274" s="187"/>
      <c r="N2274" s="187"/>
      <c r="O2274" s="187"/>
      <c r="P2274" s="187"/>
      <c r="Q2274" s="187"/>
      <c r="R2274" s="187"/>
      <c r="S2274" s="188"/>
    </row>
    <row r="2275" spans="2:19" ht="12.75">
      <c r="B2275" s="185"/>
      <c r="C2275" s="186"/>
      <c r="D2275" s="187"/>
      <c r="E2275" s="187"/>
      <c r="F2275" s="187"/>
      <c r="G2275" s="187"/>
      <c r="H2275" s="187"/>
      <c r="I2275" s="187"/>
      <c r="J2275" s="187"/>
      <c r="K2275" s="187"/>
      <c r="L2275" s="187"/>
      <c r="M2275" s="187"/>
      <c r="N2275" s="187"/>
      <c r="O2275" s="187"/>
      <c r="P2275" s="187"/>
      <c r="Q2275" s="187"/>
      <c r="R2275" s="187"/>
      <c r="S2275" s="188"/>
    </row>
    <row r="2276" spans="2:19" ht="12.75">
      <c r="B2276" s="185"/>
      <c r="C2276" s="186"/>
      <c r="D2276" s="187"/>
      <c r="E2276" s="187"/>
      <c r="F2276" s="187"/>
      <c r="G2276" s="187"/>
      <c r="H2276" s="187"/>
      <c r="I2276" s="187"/>
      <c r="J2276" s="187"/>
      <c r="K2276" s="187"/>
      <c r="L2276" s="187"/>
      <c r="M2276" s="187"/>
      <c r="N2276" s="187"/>
      <c r="O2276" s="187"/>
      <c r="P2276" s="187"/>
      <c r="Q2276" s="187"/>
      <c r="R2276" s="187"/>
      <c r="S2276" s="188"/>
    </row>
    <row r="2277" spans="2:19" ht="12.75">
      <c r="B2277" s="185"/>
      <c r="C2277" s="186"/>
      <c r="D2277" s="187"/>
      <c r="E2277" s="187"/>
      <c r="F2277" s="187"/>
      <c r="G2277" s="187"/>
      <c r="H2277" s="187"/>
      <c r="I2277" s="187"/>
      <c r="J2277" s="187"/>
      <c r="K2277" s="187"/>
      <c r="L2277" s="187"/>
      <c r="M2277" s="187"/>
      <c r="N2277" s="187"/>
      <c r="O2277" s="187"/>
      <c r="P2277" s="187"/>
      <c r="Q2277" s="187"/>
      <c r="R2277" s="187"/>
      <c r="S2277" s="188"/>
    </row>
    <row r="2278" spans="2:19" ht="12.75">
      <c r="B2278" s="185"/>
      <c r="C2278" s="186"/>
      <c r="D2278" s="187"/>
      <c r="E2278" s="187"/>
      <c r="F2278" s="187"/>
      <c r="G2278" s="187"/>
      <c r="H2278" s="187"/>
      <c r="I2278" s="187"/>
      <c r="J2278" s="187"/>
      <c r="K2278" s="187"/>
      <c r="L2278" s="187"/>
      <c r="M2278" s="187"/>
      <c r="N2278" s="187"/>
      <c r="O2278" s="187"/>
      <c r="P2278" s="187"/>
      <c r="Q2278" s="187"/>
      <c r="R2278" s="187"/>
      <c r="S2278" s="188"/>
    </row>
    <row r="2279" spans="2:19" ht="12.75">
      <c r="B2279" s="185"/>
      <c r="C2279" s="186"/>
      <c r="D2279" s="187"/>
      <c r="E2279" s="187"/>
      <c r="F2279" s="187"/>
      <c r="G2279" s="187"/>
      <c r="H2279" s="187"/>
      <c r="I2279" s="187"/>
      <c r="J2279" s="187"/>
      <c r="K2279" s="187"/>
      <c r="L2279" s="187"/>
      <c r="M2279" s="187"/>
      <c r="N2279" s="187"/>
      <c r="O2279" s="187"/>
      <c r="P2279" s="187"/>
      <c r="Q2279" s="187"/>
      <c r="R2279" s="187"/>
      <c r="S2279" s="188"/>
    </row>
    <row r="2280" spans="2:19" ht="12.75">
      <c r="B2280" s="185"/>
      <c r="C2280" s="186"/>
      <c r="D2280" s="187"/>
      <c r="E2280" s="187"/>
      <c r="F2280" s="187"/>
      <c r="G2280" s="187"/>
      <c r="H2280" s="187"/>
      <c r="I2280" s="187"/>
      <c r="J2280" s="187"/>
      <c r="K2280" s="187"/>
      <c r="L2280" s="187"/>
      <c r="M2280" s="187"/>
      <c r="N2280" s="187"/>
      <c r="O2280" s="187"/>
      <c r="P2280" s="187"/>
      <c r="Q2280" s="187"/>
      <c r="R2280" s="187"/>
      <c r="S2280" s="188"/>
    </row>
    <row r="2281" spans="2:19" ht="12.75">
      <c r="B2281" s="185"/>
      <c r="C2281" s="186"/>
      <c r="D2281" s="187"/>
      <c r="E2281" s="187"/>
      <c r="F2281" s="187"/>
      <c r="G2281" s="187"/>
      <c r="H2281" s="187"/>
      <c r="I2281" s="187"/>
      <c r="J2281" s="187"/>
      <c r="K2281" s="187"/>
      <c r="L2281" s="187"/>
      <c r="M2281" s="187"/>
      <c r="N2281" s="187"/>
      <c r="O2281" s="187"/>
      <c r="P2281" s="187"/>
      <c r="Q2281" s="187"/>
      <c r="R2281" s="187"/>
      <c r="S2281" s="188"/>
    </row>
    <row r="2282" spans="2:19" ht="12.75">
      <c r="B2282" s="185"/>
      <c r="C2282" s="186"/>
      <c r="D2282" s="187"/>
      <c r="E2282" s="187"/>
      <c r="F2282" s="187"/>
      <c r="G2282" s="187"/>
      <c r="H2282" s="187"/>
      <c r="I2282" s="187"/>
      <c r="J2282" s="187"/>
      <c r="K2282" s="187"/>
      <c r="L2282" s="187"/>
      <c r="M2282" s="187"/>
      <c r="N2282" s="187"/>
      <c r="O2282" s="187"/>
      <c r="P2282" s="187"/>
      <c r="Q2282" s="187"/>
      <c r="R2282" s="187"/>
      <c r="S2282" s="188"/>
    </row>
    <row r="2283" spans="2:19" ht="12.75">
      <c r="B2283" s="185"/>
      <c r="C2283" s="186"/>
      <c r="D2283" s="187"/>
      <c r="E2283" s="187"/>
      <c r="F2283" s="187"/>
      <c r="G2283" s="187"/>
      <c r="H2283" s="187"/>
      <c r="I2283" s="187"/>
      <c r="J2283" s="187"/>
      <c r="K2283" s="187"/>
      <c r="L2283" s="187"/>
      <c r="M2283" s="187"/>
      <c r="N2283" s="187"/>
      <c r="O2283" s="187"/>
      <c r="P2283" s="187"/>
      <c r="Q2283" s="187"/>
      <c r="R2283" s="187"/>
      <c r="S2283" s="188"/>
    </row>
    <row r="2284" spans="2:19" ht="12.75">
      <c r="B2284" s="185"/>
      <c r="C2284" s="186"/>
      <c r="D2284" s="187"/>
      <c r="E2284" s="187"/>
      <c r="F2284" s="187"/>
      <c r="G2284" s="187"/>
      <c r="H2284" s="187"/>
      <c r="I2284" s="187"/>
      <c r="J2284" s="187"/>
      <c r="K2284" s="187"/>
      <c r="L2284" s="187"/>
      <c r="M2284" s="187"/>
      <c r="N2284" s="187"/>
      <c r="O2284" s="187"/>
      <c r="P2284" s="187"/>
      <c r="Q2284" s="187"/>
      <c r="R2284" s="187"/>
      <c r="S2284" s="188"/>
    </row>
    <row r="2285" spans="2:19" ht="12.75">
      <c r="B2285" s="185"/>
      <c r="C2285" s="186"/>
      <c r="D2285" s="187"/>
      <c r="E2285" s="187"/>
      <c r="F2285" s="187"/>
      <c r="G2285" s="187"/>
      <c r="H2285" s="187"/>
      <c r="I2285" s="187"/>
      <c r="J2285" s="187"/>
      <c r="K2285" s="187"/>
      <c r="L2285" s="187"/>
      <c r="M2285" s="187"/>
      <c r="N2285" s="187"/>
      <c r="O2285" s="187"/>
      <c r="P2285" s="187"/>
      <c r="Q2285" s="187"/>
      <c r="R2285" s="187"/>
      <c r="S2285" s="188"/>
    </row>
    <row r="2286" spans="2:19" ht="12.75">
      <c r="B2286" s="185"/>
      <c r="C2286" s="186"/>
      <c r="D2286" s="187"/>
      <c r="E2286" s="187"/>
      <c r="F2286" s="187"/>
      <c r="G2286" s="187"/>
      <c r="H2286" s="187"/>
      <c r="I2286" s="187"/>
      <c r="J2286" s="187"/>
      <c r="K2286" s="187"/>
      <c r="L2286" s="187"/>
      <c r="M2286" s="187"/>
      <c r="N2286" s="187"/>
      <c r="O2286" s="187"/>
      <c r="P2286" s="187"/>
      <c r="Q2286" s="187"/>
      <c r="R2286" s="187"/>
      <c r="S2286" s="188"/>
    </row>
    <row r="2287" spans="2:19" ht="12.75">
      <c r="B2287" s="185"/>
      <c r="C2287" s="186"/>
      <c r="D2287" s="187"/>
      <c r="E2287" s="187"/>
      <c r="F2287" s="187"/>
      <c r="G2287" s="187"/>
      <c r="H2287" s="187"/>
      <c r="I2287" s="187"/>
      <c r="J2287" s="187"/>
      <c r="K2287" s="187"/>
      <c r="L2287" s="187"/>
      <c r="M2287" s="187"/>
      <c r="N2287" s="187"/>
      <c r="O2287" s="187"/>
      <c r="P2287" s="187"/>
      <c r="Q2287" s="187"/>
      <c r="R2287" s="187"/>
      <c r="S2287" s="188"/>
    </row>
    <row r="2288" spans="2:19" ht="12.75">
      <c r="B2288" s="185"/>
      <c r="C2288" s="186"/>
      <c r="D2288" s="187"/>
      <c r="E2288" s="187"/>
      <c r="F2288" s="187"/>
      <c r="G2288" s="187"/>
      <c r="H2288" s="187"/>
      <c r="I2288" s="187"/>
      <c r="J2288" s="187"/>
      <c r="K2288" s="187"/>
      <c r="L2288" s="187"/>
      <c r="M2288" s="187"/>
      <c r="N2288" s="187"/>
      <c r="O2288" s="187"/>
      <c r="P2288" s="187"/>
      <c r="Q2288" s="187"/>
      <c r="R2288" s="187"/>
      <c r="S2288" s="188"/>
    </row>
    <row r="2289" spans="2:19" ht="12.75">
      <c r="B2289" s="185"/>
      <c r="C2289" s="186"/>
      <c r="D2289" s="187"/>
      <c r="E2289" s="187"/>
      <c r="F2289" s="187"/>
      <c r="G2289" s="187"/>
      <c r="H2289" s="187"/>
      <c r="I2289" s="187"/>
      <c r="J2289" s="187"/>
      <c r="K2289" s="187"/>
      <c r="L2289" s="187"/>
      <c r="M2289" s="187"/>
      <c r="N2289" s="187"/>
      <c r="O2289" s="187"/>
      <c r="P2289" s="187"/>
      <c r="Q2289" s="187"/>
      <c r="R2289" s="187"/>
      <c r="S2289" s="188"/>
    </row>
    <row r="2290" spans="2:19" ht="12.75">
      <c r="B2290" s="185"/>
      <c r="C2290" s="186"/>
      <c r="D2290" s="187"/>
      <c r="E2290" s="187"/>
      <c r="F2290" s="187"/>
      <c r="G2290" s="187"/>
      <c r="H2290" s="187"/>
      <c r="I2290" s="187"/>
      <c r="J2290" s="187"/>
      <c r="K2290" s="187"/>
      <c r="L2290" s="187"/>
      <c r="M2290" s="187"/>
      <c r="N2290" s="187"/>
      <c r="O2290" s="187"/>
      <c r="P2290" s="187"/>
      <c r="Q2290" s="187"/>
      <c r="R2290" s="187"/>
      <c r="S2290" s="188"/>
    </row>
    <row r="2291" spans="2:19" ht="12.75">
      <c r="B2291" s="185"/>
      <c r="C2291" s="186"/>
      <c r="D2291" s="187"/>
      <c r="E2291" s="187"/>
      <c r="F2291" s="187"/>
      <c r="G2291" s="187"/>
      <c r="H2291" s="187"/>
      <c r="I2291" s="187"/>
      <c r="J2291" s="187"/>
      <c r="K2291" s="187"/>
      <c r="L2291" s="187"/>
      <c r="M2291" s="187"/>
      <c r="N2291" s="187"/>
      <c r="O2291" s="187"/>
      <c r="P2291" s="187"/>
      <c r="Q2291" s="187"/>
      <c r="R2291" s="187"/>
      <c r="S2291" s="188"/>
    </row>
    <row r="2292" spans="2:19" ht="12.75">
      <c r="B2292" s="185"/>
      <c r="C2292" s="186"/>
      <c r="D2292" s="187"/>
      <c r="E2292" s="187"/>
      <c r="F2292" s="187"/>
      <c r="G2292" s="187"/>
      <c r="H2292" s="187"/>
      <c r="I2292" s="187"/>
      <c r="J2292" s="187"/>
      <c r="K2292" s="187"/>
      <c r="L2292" s="187"/>
      <c r="M2292" s="187"/>
      <c r="N2292" s="187"/>
      <c r="O2292" s="187"/>
      <c r="P2292" s="187"/>
      <c r="Q2292" s="187"/>
      <c r="R2292" s="187"/>
      <c r="S2292" s="188"/>
    </row>
    <row r="2293" spans="2:19" ht="12.75">
      <c r="B2293" s="185"/>
      <c r="C2293" s="186"/>
      <c r="D2293" s="187"/>
      <c r="E2293" s="187"/>
      <c r="F2293" s="187"/>
      <c r="G2293" s="187"/>
      <c r="H2293" s="187"/>
      <c r="I2293" s="187"/>
      <c r="J2293" s="187"/>
      <c r="K2293" s="187"/>
      <c r="L2293" s="187"/>
      <c r="M2293" s="187"/>
      <c r="N2293" s="187"/>
      <c r="O2293" s="187"/>
      <c r="P2293" s="187"/>
      <c r="Q2293" s="187"/>
      <c r="R2293" s="187"/>
      <c r="S2293" s="188"/>
    </row>
    <row r="2294" spans="2:19" ht="12.75">
      <c r="B2294" s="185"/>
      <c r="C2294" s="186"/>
      <c r="D2294" s="187"/>
      <c r="E2294" s="187"/>
      <c r="F2294" s="187"/>
      <c r="G2294" s="187"/>
      <c r="H2294" s="187"/>
      <c r="I2294" s="187"/>
      <c r="J2294" s="187"/>
      <c r="K2294" s="187"/>
      <c r="L2294" s="187"/>
      <c r="M2294" s="187"/>
      <c r="N2294" s="187"/>
      <c r="O2294" s="187"/>
      <c r="P2294" s="187"/>
      <c r="Q2294" s="187"/>
      <c r="R2294" s="187"/>
      <c r="S2294" s="188"/>
    </row>
    <row r="2295" spans="2:19" ht="12.75">
      <c r="B2295" s="185"/>
      <c r="C2295" s="186"/>
      <c r="D2295" s="187"/>
      <c r="E2295" s="187"/>
      <c r="F2295" s="187"/>
      <c r="G2295" s="187"/>
      <c r="H2295" s="187"/>
      <c r="I2295" s="187"/>
      <c r="J2295" s="187"/>
      <c r="K2295" s="187"/>
      <c r="L2295" s="187"/>
      <c r="M2295" s="187"/>
      <c r="N2295" s="187"/>
      <c r="O2295" s="187"/>
      <c r="P2295" s="187"/>
      <c r="Q2295" s="187"/>
      <c r="R2295" s="187"/>
      <c r="S2295" s="188"/>
    </row>
    <row r="2296" spans="2:19" ht="12.75">
      <c r="B2296" s="185"/>
      <c r="C2296" s="186"/>
      <c r="D2296" s="187"/>
      <c r="E2296" s="187"/>
      <c r="F2296" s="187"/>
      <c r="G2296" s="187"/>
      <c r="H2296" s="187"/>
      <c r="I2296" s="187"/>
      <c r="J2296" s="187"/>
      <c r="K2296" s="187"/>
      <c r="L2296" s="187"/>
      <c r="M2296" s="187"/>
      <c r="N2296" s="187"/>
      <c r="O2296" s="187"/>
      <c r="P2296" s="187"/>
      <c r="Q2296" s="187"/>
      <c r="R2296" s="187"/>
      <c r="S2296" s="188"/>
    </row>
    <row r="2297" spans="2:19" ht="12.75">
      <c r="B2297" s="185"/>
      <c r="C2297" s="186"/>
      <c r="D2297" s="187"/>
      <c r="E2297" s="187"/>
      <c r="F2297" s="187"/>
      <c r="G2297" s="187"/>
      <c r="H2297" s="187"/>
      <c r="I2297" s="187"/>
      <c r="J2297" s="187"/>
      <c r="K2297" s="187"/>
      <c r="L2297" s="187"/>
      <c r="M2297" s="187"/>
      <c r="N2297" s="187"/>
      <c r="O2297" s="187"/>
      <c r="P2297" s="187"/>
      <c r="Q2297" s="187"/>
      <c r="R2297" s="187"/>
      <c r="S2297" s="188"/>
    </row>
    <row r="2298" spans="2:19" ht="12.75">
      <c r="B2298" s="185"/>
      <c r="C2298" s="186"/>
      <c r="D2298" s="187"/>
      <c r="E2298" s="187"/>
      <c r="F2298" s="187"/>
      <c r="G2298" s="187"/>
      <c r="H2298" s="187"/>
      <c r="I2298" s="187"/>
      <c r="J2298" s="187"/>
      <c r="K2298" s="187"/>
      <c r="L2298" s="187"/>
      <c r="M2298" s="187"/>
      <c r="N2298" s="187"/>
      <c r="O2298" s="187"/>
      <c r="P2298" s="187"/>
      <c r="Q2298" s="187"/>
      <c r="R2298" s="187"/>
      <c r="S2298" s="188"/>
    </row>
    <row r="2299" spans="2:19" ht="12.75">
      <c r="B2299" s="185"/>
      <c r="C2299" s="186"/>
      <c r="D2299" s="187"/>
      <c r="E2299" s="187"/>
      <c r="F2299" s="187"/>
      <c r="G2299" s="187"/>
      <c r="H2299" s="187"/>
      <c r="I2299" s="187"/>
      <c r="J2299" s="187"/>
      <c r="K2299" s="187"/>
      <c r="L2299" s="187"/>
      <c r="M2299" s="187"/>
      <c r="N2299" s="187"/>
      <c r="O2299" s="187"/>
      <c r="P2299" s="187"/>
      <c r="Q2299" s="187"/>
      <c r="R2299" s="187"/>
      <c r="S2299" s="188"/>
    </row>
    <row r="2300" spans="2:19" ht="12.75">
      <c r="B2300" s="185"/>
      <c r="C2300" s="186"/>
      <c r="D2300" s="187"/>
      <c r="E2300" s="187"/>
      <c r="F2300" s="187"/>
      <c r="G2300" s="187"/>
      <c r="H2300" s="187"/>
      <c r="I2300" s="187"/>
      <c r="J2300" s="187"/>
      <c r="K2300" s="187"/>
      <c r="L2300" s="187"/>
      <c r="M2300" s="187"/>
      <c r="N2300" s="187"/>
      <c r="O2300" s="187"/>
      <c r="P2300" s="187"/>
      <c r="Q2300" s="187"/>
      <c r="R2300" s="187"/>
      <c r="S2300" s="188"/>
    </row>
    <row r="2301" spans="2:19" ht="12.75">
      <c r="B2301" s="185"/>
      <c r="C2301" s="186"/>
      <c r="D2301" s="187"/>
      <c r="E2301" s="187"/>
      <c r="F2301" s="187"/>
      <c r="G2301" s="187"/>
      <c r="H2301" s="187"/>
      <c r="I2301" s="187"/>
      <c r="J2301" s="187"/>
      <c r="K2301" s="187"/>
      <c r="L2301" s="187"/>
      <c r="M2301" s="187"/>
      <c r="N2301" s="187"/>
      <c r="O2301" s="187"/>
      <c r="P2301" s="187"/>
      <c r="Q2301" s="187"/>
      <c r="R2301" s="187"/>
      <c r="S2301" s="188"/>
    </row>
    <row r="2302" spans="2:19" ht="12.75">
      <c r="B2302" s="185"/>
      <c r="C2302" s="186"/>
      <c r="D2302" s="187"/>
      <c r="E2302" s="187"/>
      <c r="F2302" s="187"/>
      <c r="G2302" s="187"/>
      <c r="H2302" s="187"/>
      <c r="I2302" s="187"/>
      <c r="J2302" s="187"/>
      <c r="K2302" s="187"/>
      <c r="L2302" s="187"/>
      <c r="M2302" s="187"/>
      <c r="N2302" s="187"/>
      <c r="O2302" s="187"/>
      <c r="P2302" s="187"/>
      <c r="Q2302" s="187"/>
      <c r="R2302" s="187"/>
      <c r="S2302" s="188"/>
    </row>
    <row r="2303" spans="2:19" ht="12.75">
      <c r="B2303" s="185"/>
      <c r="C2303" s="186"/>
      <c r="D2303" s="187"/>
      <c r="E2303" s="187"/>
      <c r="F2303" s="187"/>
      <c r="G2303" s="187"/>
      <c r="H2303" s="187"/>
      <c r="I2303" s="187"/>
      <c r="J2303" s="187"/>
      <c r="K2303" s="187"/>
      <c r="L2303" s="187"/>
      <c r="M2303" s="187"/>
      <c r="N2303" s="187"/>
      <c r="O2303" s="187"/>
      <c r="P2303" s="187"/>
      <c r="Q2303" s="187"/>
      <c r="R2303" s="187"/>
      <c r="S2303" s="188"/>
    </row>
    <row r="2304" spans="2:19" ht="12.75">
      <c r="B2304" s="185"/>
      <c r="C2304" s="186"/>
      <c r="D2304" s="187"/>
      <c r="E2304" s="187"/>
      <c r="F2304" s="187"/>
      <c r="G2304" s="187"/>
      <c r="H2304" s="187"/>
      <c r="I2304" s="187"/>
      <c r="J2304" s="187"/>
      <c r="K2304" s="187"/>
      <c r="L2304" s="187"/>
      <c r="M2304" s="187"/>
      <c r="N2304" s="187"/>
      <c r="O2304" s="187"/>
      <c r="P2304" s="187"/>
      <c r="Q2304" s="187"/>
      <c r="R2304" s="187"/>
      <c r="S2304" s="188"/>
    </row>
    <row r="2305" spans="2:19" ht="12.75">
      <c r="B2305" s="185"/>
      <c r="C2305" s="186"/>
      <c r="D2305" s="187"/>
      <c r="E2305" s="187"/>
      <c r="F2305" s="187"/>
      <c r="G2305" s="187"/>
      <c r="H2305" s="187"/>
      <c r="I2305" s="187"/>
      <c r="J2305" s="187"/>
      <c r="K2305" s="187"/>
      <c r="L2305" s="187"/>
      <c r="M2305" s="187"/>
      <c r="N2305" s="187"/>
      <c r="O2305" s="187"/>
      <c r="P2305" s="187"/>
      <c r="Q2305" s="187"/>
      <c r="R2305" s="187"/>
      <c r="S2305" s="188"/>
    </row>
    <row r="2306" spans="2:19" ht="12.75">
      <c r="B2306" s="185"/>
      <c r="C2306" s="186"/>
      <c r="D2306" s="187"/>
      <c r="E2306" s="187"/>
      <c r="F2306" s="187"/>
      <c r="G2306" s="187"/>
      <c r="H2306" s="187"/>
      <c r="I2306" s="187"/>
      <c r="J2306" s="187"/>
      <c r="K2306" s="187"/>
      <c r="L2306" s="187"/>
      <c r="M2306" s="187"/>
      <c r="N2306" s="187"/>
      <c r="O2306" s="187"/>
      <c r="P2306" s="187"/>
      <c r="Q2306" s="187"/>
      <c r="R2306" s="187"/>
      <c r="S2306" s="188"/>
    </row>
    <row r="2307" spans="2:19" ht="12.75">
      <c r="B2307" s="185"/>
      <c r="C2307" s="186"/>
      <c r="D2307" s="187"/>
      <c r="E2307" s="187"/>
      <c r="F2307" s="187"/>
      <c r="G2307" s="187"/>
      <c r="H2307" s="187"/>
      <c r="I2307" s="187"/>
      <c r="J2307" s="187"/>
      <c r="K2307" s="187"/>
      <c r="L2307" s="187"/>
      <c r="M2307" s="187"/>
      <c r="N2307" s="187"/>
      <c r="O2307" s="187"/>
      <c r="P2307" s="187"/>
      <c r="Q2307" s="187"/>
      <c r="R2307" s="187"/>
      <c r="S2307" s="188"/>
    </row>
    <row r="2308" spans="2:19" ht="12.75">
      <c r="B2308" s="185"/>
      <c r="C2308" s="186"/>
      <c r="D2308" s="187"/>
      <c r="E2308" s="187"/>
      <c r="F2308" s="187"/>
      <c r="G2308" s="187"/>
      <c r="H2308" s="187"/>
      <c r="I2308" s="187"/>
      <c r="J2308" s="187"/>
      <c r="K2308" s="187"/>
      <c r="L2308" s="187"/>
      <c r="M2308" s="187"/>
      <c r="N2308" s="187"/>
      <c r="O2308" s="187"/>
      <c r="P2308" s="187"/>
      <c r="Q2308" s="187"/>
      <c r="R2308" s="187"/>
      <c r="S2308" s="188"/>
    </row>
    <row r="2309" spans="2:19" ht="12.75">
      <c r="B2309" s="185"/>
      <c r="C2309" s="186"/>
      <c r="D2309" s="187"/>
      <c r="E2309" s="187"/>
      <c r="F2309" s="187"/>
      <c r="G2309" s="187"/>
      <c r="H2309" s="187"/>
      <c r="I2309" s="187"/>
      <c r="J2309" s="187"/>
      <c r="K2309" s="187"/>
      <c r="L2309" s="187"/>
      <c r="M2309" s="187"/>
      <c r="N2309" s="187"/>
      <c r="O2309" s="187"/>
      <c r="P2309" s="187"/>
      <c r="Q2309" s="187"/>
      <c r="R2309" s="187"/>
      <c r="S2309" s="188"/>
    </row>
    <row r="2310" spans="2:19" ht="12.75">
      <c r="B2310" s="185"/>
      <c r="C2310" s="186"/>
      <c r="D2310" s="187"/>
      <c r="E2310" s="187"/>
      <c r="F2310" s="187"/>
      <c r="G2310" s="187"/>
      <c r="H2310" s="187"/>
      <c r="I2310" s="187"/>
      <c r="J2310" s="187"/>
      <c r="K2310" s="187"/>
      <c r="L2310" s="187"/>
      <c r="M2310" s="187"/>
      <c r="N2310" s="187"/>
      <c r="O2310" s="187"/>
      <c r="P2310" s="187"/>
      <c r="Q2310" s="187"/>
      <c r="R2310" s="187"/>
      <c r="S2310" s="188"/>
    </row>
    <row r="2311" spans="2:19" ht="12.75">
      <c r="B2311" s="185"/>
      <c r="C2311" s="186"/>
      <c r="D2311" s="187"/>
      <c r="E2311" s="187"/>
      <c r="F2311" s="187"/>
      <c r="G2311" s="187"/>
      <c r="H2311" s="187"/>
      <c r="I2311" s="187"/>
      <c r="J2311" s="187"/>
      <c r="K2311" s="187"/>
      <c r="L2311" s="187"/>
      <c r="M2311" s="187"/>
      <c r="N2311" s="187"/>
      <c r="O2311" s="187"/>
      <c r="P2311" s="187"/>
      <c r="Q2311" s="187"/>
      <c r="R2311" s="187"/>
      <c r="S2311" s="188"/>
    </row>
    <row r="2312" spans="2:19" ht="12.75">
      <c r="B2312" s="185"/>
      <c r="C2312" s="186"/>
      <c r="D2312" s="187"/>
      <c r="E2312" s="187"/>
      <c r="F2312" s="187"/>
      <c r="G2312" s="187"/>
      <c r="H2312" s="187"/>
      <c r="I2312" s="187"/>
      <c r="J2312" s="187"/>
      <c r="K2312" s="187"/>
      <c r="L2312" s="187"/>
      <c r="M2312" s="187"/>
      <c r="N2312" s="187"/>
      <c r="O2312" s="187"/>
      <c r="P2312" s="187"/>
      <c r="Q2312" s="187"/>
      <c r="R2312" s="187"/>
      <c r="S2312" s="188"/>
    </row>
    <row r="2313" spans="2:19" ht="12.75">
      <c r="B2313" s="185"/>
      <c r="C2313" s="186"/>
      <c r="D2313" s="187"/>
      <c r="E2313" s="187"/>
      <c r="F2313" s="187"/>
      <c r="G2313" s="187"/>
      <c r="H2313" s="187"/>
      <c r="I2313" s="187"/>
      <c r="J2313" s="187"/>
      <c r="K2313" s="187"/>
      <c r="L2313" s="187"/>
      <c r="M2313" s="187"/>
      <c r="N2313" s="187"/>
      <c r="O2313" s="187"/>
      <c r="P2313" s="187"/>
      <c r="Q2313" s="187"/>
      <c r="R2313" s="187"/>
      <c r="S2313" s="188"/>
    </row>
    <row r="2314" spans="2:19" ht="12.75">
      <c r="B2314" s="185"/>
      <c r="C2314" s="186"/>
      <c r="D2314" s="187"/>
      <c r="E2314" s="187"/>
      <c r="F2314" s="187"/>
      <c r="G2314" s="187"/>
      <c r="H2314" s="187"/>
      <c r="I2314" s="187"/>
      <c r="J2314" s="187"/>
      <c r="K2314" s="187"/>
      <c r="L2314" s="187"/>
      <c r="M2314" s="187"/>
      <c r="N2314" s="187"/>
      <c r="O2314" s="187"/>
      <c r="P2314" s="187"/>
      <c r="Q2314" s="187"/>
      <c r="R2314" s="187"/>
      <c r="S2314" s="188"/>
    </row>
    <row r="2315" spans="2:19" ht="12.75">
      <c r="B2315" s="185"/>
      <c r="C2315" s="186"/>
      <c r="D2315" s="187"/>
      <c r="E2315" s="187"/>
      <c r="F2315" s="187"/>
      <c r="G2315" s="187"/>
      <c r="H2315" s="187"/>
      <c r="I2315" s="187"/>
      <c r="J2315" s="187"/>
      <c r="K2315" s="187"/>
      <c r="L2315" s="187"/>
      <c r="M2315" s="187"/>
      <c r="N2315" s="187"/>
      <c r="O2315" s="187"/>
      <c r="P2315" s="187"/>
      <c r="Q2315" s="187"/>
      <c r="R2315" s="187"/>
      <c r="S2315" s="188"/>
    </row>
    <row r="2316" spans="2:19" ht="12.75">
      <c r="B2316" s="185"/>
      <c r="C2316" s="186"/>
      <c r="D2316" s="187"/>
      <c r="E2316" s="187"/>
      <c r="F2316" s="187"/>
      <c r="G2316" s="187"/>
      <c r="H2316" s="187"/>
      <c r="I2316" s="187"/>
      <c r="J2316" s="187"/>
      <c r="K2316" s="187"/>
      <c r="L2316" s="187"/>
      <c r="M2316" s="187"/>
      <c r="N2316" s="187"/>
      <c r="O2316" s="187"/>
      <c r="P2316" s="187"/>
      <c r="Q2316" s="187"/>
      <c r="R2316" s="187"/>
      <c r="S2316" s="188"/>
    </row>
    <row r="2317" spans="2:19" ht="12.75">
      <c r="B2317" s="185"/>
      <c r="C2317" s="186"/>
      <c r="D2317" s="187"/>
      <c r="E2317" s="187"/>
      <c r="F2317" s="187"/>
      <c r="G2317" s="187"/>
      <c r="H2317" s="187"/>
      <c r="I2317" s="187"/>
      <c r="J2317" s="187"/>
      <c r="K2317" s="187"/>
      <c r="L2317" s="187"/>
      <c r="M2317" s="187"/>
      <c r="N2317" s="187"/>
      <c r="O2317" s="187"/>
      <c r="P2317" s="187"/>
      <c r="Q2317" s="187"/>
      <c r="R2317" s="187"/>
      <c r="S2317" s="188"/>
    </row>
    <row r="2318" spans="2:19" ht="12.75">
      <c r="B2318" s="185"/>
      <c r="C2318" s="186"/>
      <c r="D2318" s="187"/>
      <c r="E2318" s="187"/>
      <c r="F2318" s="187"/>
      <c r="G2318" s="187"/>
      <c r="H2318" s="187"/>
      <c r="I2318" s="187"/>
      <c r="J2318" s="187"/>
      <c r="K2318" s="187"/>
      <c r="L2318" s="187"/>
      <c r="M2318" s="187"/>
      <c r="N2318" s="187"/>
      <c r="O2318" s="187"/>
      <c r="P2318" s="187"/>
      <c r="Q2318" s="187"/>
      <c r="R2318" s="187"/>
      <c r="S2318" s="188"/>
    </row>
    <row r="2319" spans="2:19" ht="12.75">
      <c r="B2319" s="185"/>
      <c r="C2319" s="186"/>
      <c r="D2319" s="187"/>
      <c r="E2319" s="187"/>
      <c r="F2319" s="187"/>
      <c r="G2319" s="187"/>
      <c r="H2319" s="187"/>
      <c r="I2319" s="187"/>
      <c r="J2319" s="187"/>
      <c r="K2319" s="187"/>
      <c r="L2319" s="187"/>
      <c r="M2319" s="187"/>
      <c r="N2319" s="187"/>
      <c r="O2319" s="187"/>
      <c r="P2319" s="187"/>
      <c r="Q2319" s="187"/>
      <c r="R2319" s="187"/>
      <c r="S2319" s="188"/>
    </row>
    <row r="2320" spans="2:19" ht="12.75">
      <c r="B2320" s="185"/>
      <c r="C2320" s="186"/>
      <c r="D2320" s="187"/>
      <c r="E2320" s="187"/>
      <c r="F2320" s="187"/>
      <c r="G2320" s="187"/>
      <c r="H2320" s="187"/>
      <c r="I2320" s="187"/>
      <c r="J2320" s="187"/>
      <c r="K2320" s="187"/>
      <c r="L2320" s="187"/>
      <c r="M2320" s="187"/>
      <c r="N2320" s="187"/>
      <c r="O2320" s="187"/>
      <c r="P2320" s="187"/>
      <c r="Q2320" s="187"/>
      <c r="R2320" s="187"/>
      <c r="S2320" s="188"/>
    </row>
    <row r="2321" spans="2:19" ht="12.75">
      <c r="B2321" s="185"/>
      <c r="C2321" s="186"/>
      <c r="D2321" s="187"/>
      <c r="E2321" s="187"/>
      <c r="F2321" s="187"/>
      <c r="G2321" s="187"/>
      <c r="H2321" s="187"/>
      <c r="I2321" s="187"/>
      <c r="J2321" s="187"/>
      <c r="K2321" s="187"/>
      <c r="L2321" s="187"/>
      <c r="M2321" s="187"/>
      <c r="N2321" s="187"/>
      <c r="O2321" s="187"/>
      <c r="P2321" s="187"/>
      <c r="Q2321" s="187"/>
      <c r="R2321" s="187"/>
      <c r="S2321" s="188"/>
    </row>
    <row r="2322" spans="2:19" ht="12.75">
      <c r="B2322" s="185"/>
      <c r="C2322" s="186"/>
      <c r="D2322" s="187"/>
      <c r="E2322" s="187"/>
      <c r="F2322" s="187"/>
      <c r="G2322" s="187"/>
      <c r="H2322" s="187"/>
      <c r="I2322" s="187"/>
      <c r="J2322" s="187"/>
      <c r="K2322" s="187"/>
      <c r="L2322" s="187"/>
      <c r="M2322" s="187"/>
      <c r="N2322" s="187"/>
      <c r="O2322" s="187"/>
      <c r="P2322" s="187"/>
      <c r="Q2322" s="187"/>
      <c r="R2322" s="187"/>
      <c r="S2322" s="188"/>
    </row>
    <row r="2323" spans="2:19" ht="12.75">
      <c r="B2323" s="185"/>
      <c r="C2323" s="186"/>
      <c r="D2323" s="187"/>
      <c r="E2323" s="187"/>
      <c r="F2323" s="187"/>
      <c r="G2323" s="187"/>
      <c r="H2323" s="187"/>
      <c r="I2323" s="187"/>
      <c r="J2323" s="187"/>
      <c r="K2323" s="187"/>
      <c r="L2323" s="187"/>
      <c r="M2323" s="187"/>
      <c r="N2323" s="187"/>
      <c r="O2323" s="187"/>
      <c r="P2323" s="187"/>
      <c r="Q2323" s="187"/>
      <c r="R2323" s="187"/>
      <c r="S2323" s="188"/>
    </row>
    <row r="2324" spans="2:19" ht="12.75">
      <c r="B2324" s="185"/>
      <c r="C2324" s="186"/>
      <c r="D2324" s="187"/>
      <c r="E2324" s="187"/>
      <c r="F2324" s="187"/>
      <c r="G2324" s="187"/>
      <c r="H2324" s="187"/>
      <c r="I2324" s="187"/>
      <c r="J2324" s="187"/>
      <c r="K2324" s="187"/>
      <c r="L2324" s="187"/>
      <c r="M2324" s="187"/>
      <c r="N2324" s="187"/>
      <c r="O2324" s="187"/>
      <c r="P2324" s="187"/>
      <c r="Q2324" s="187"/>
      <c r="R2324" s="187"/>
      <c r="S2324" s="188"/>
    </row>
    <row r="2325" spans="2:19" ht="12.75">
      <c r="B2325" s="185"/>
      <c r="C2325" s="186"/>
      <c r="D2325" s="187"/>
      <c r="E2325" s="187"/>
      <c r="F2325" s="187"/>
      <c r="G2325" s="187"/>
      <c r="H2325" s="187"/>
      <c r="I2325" s="187"/>
      <c r="J2325" s="187"/>
      <c r="K2325" s="187"/>
      <c r="L2325" s="187"/>
      <c r="M2325" s="187"/>
      <c r="N2325" s="187"/>
      <c r="O2325" s="187"/>
      <c r="P2325" s="187"/>
      <c r="Q2325" s="187"/>
      <c r="R2325" s="187"/>
      <c r="S2325" s="188"/>
    </row>
    <row r="2326" spans="2:19" ht="12.75">
      <c r="B2326" s="185"/>
      <c r="C2326" s="186"/>
      <c r="D2326" s="187"/>
      <c r="E2326" s="187"/>
      <c r="F2326" s="187"/>
      <c r="G2326" s="187"/>
      <c r="H2326" s="187"/>
      <c r="I2326" s="187"/>
      <c r="J2326" s="187"/>
      <c r="K2326" s="187"/>
      <c r="L2326" s="187"/>
      <c r="M2326" s="187"/>
      <c r="N2326" s="187"/>
      <c r="O2326" s="187"/>
      <c r="P2326" s="187"/>
      <c r="Q2326" s="187"/>
      <c r="R2326" s="187"/>
      <c r="S2326" s="188"/>
    </row>
    <row r="2327" spans="2:19" ht="12.75">
      <c r="B2327" s="185"/>
      <c r="C2327" s="186"/>
      <c r="D2327" s="187"/>
      <c r="E2327" s="187"/>
      <c r="F2327" s="187"/>
      <c r="G2327" s="187"/>
      <c r="H2327" s="187"/>
      <c r="I2327" s="187"/>
      <c r="J2327" s="187"/>
      <c r="K2327" s="187"/>
      <c r="L2327" s="187"/>
      <c r="M2327" s="187"/>
      <c r="N2327" s="187"/>
      <c r="O2327" s="187"/>
      <c r="P2327" s="187"/>
      <c r="Q2327" s="187"/>
      <c r="R2327" s="187"/>
      <c r="S2327" s="188"/>
    </row>
    <row r="2328" spans="2:19" ht="12.75">
      <c r="B2328" s="185"/>
      <c r="C2328" s="186"/>
      <c r="D2328" s="187"/>
      <c r="E2328" s="187"/>
      <c r="F2328" s="187"/>
      <c r="G2328" s="187"/>
      <c r="H2328" s="187"/>
      <c r="I2328" s="187"/>
      <c r="J2328" s="187"/>
      <c r="K2328" s="187"/>
      <c r="L2328" s="187"/>
      <c r="M2328" s="187"/>
      <c r="N2328" s="187"/>
      <c r="O2328" s="187"/>
      <c r="P2328" s="187"/>
      <c r="Q2328" s="187"/>
      <c r="R2328" s="187"/>
      <c r="S2328" s="188"/>
    </row>
    <row r="2329" spans="2:19" ht="12.75">
      <c r="B2329" s="185"/>
      <c r="C2329" s="186"/>
      <c r="D2329" s="187"/>
      <c r="E2329" s="187"/>
      <c r="F2329" s="187"/>
      <c r="G2329" s="187"/>
      <c r="H2329" s="187"/>
      <c r="I2329" s="187"/>
      <c r="J2329" s="187"/>
      <c r="K2329" s="187"/>
      <c r="L2329" s="187"/>
      <c r="M2329" s="187"/>
      <c r="N2329" s="187"/>
      <c r="O2329" s="187"/>
      <c r="P2329" s="187"/>
      <c r="Q2329" s="187"/>
      <c r="R2329" s="187"/>
      <c r="S2329" s="188"/>
    </row>
    <row r="2330" spans="2:19" ht="12.75">
      <c r="B2330" s="185"/>
      <c r="C2330" s="186"/>
      <c r="D2330" s="187"/>
      <c r="E2330" s="187"/>
      <c r="F2330" s="187"/>
      <c r="G2330" s="187"/>
      <c r="H2330" s="187"/>
      <c r="I2330" s="187"/>
      <c r="J2330" s="187"/>
      <c r="K2330" s="187"/>
      <c r="L2330" s="187"/>
      <c r="M2330" s="187"/>
      <c r="N2330" s="187"/>
      <c r="O2330" s="187"/>
      <c r="P2330" s="187"/>
      <c r="Q2330" s="187"/>
      <c r="R2330" s="187"/>
      <c r="S2330" s="188"/>
    </row>
    <row r="2331" spans="2:19" ht="12.75">
      <c r="B2331" s="185"/>
      <c r="C2331" s="186"/>
      <c r="D2331" s="187"/>
      <c r="E2331" s="187"/>
      <c r="F2331" s="187"/>
      <c r="G2331" s="187"/>
      <c r="H2331" s="187"/>
      <c r="I2331" s="187"/>
      <c r="J2331" s="187"/>
      <c r="K2331" s="187"/>
      <c r="L2331" s="187"/>
      <c r="M2331" s="187"/>
      <c r="N2331" s="187"/>
      <c r="O2331" s="187"/>
      <c r="P2331" s="187"/>
      <c r="Q2331" s="187"/>
      <c r="R2331" s="187"/>
      <c r="S2331" s="188"/>
    </row>
    <row r="2332" spans="2:19" ht="12.75">
      <c r="B2332" s="185"/>
      <c r="C2332" s="186"/>
      <c r="D2332" s="187"/>
      <c r="E2332" s="187"/>
      <c r="F2332" s="187"/>
      <c r="G2332" s="187"/>
      <c r="H2332" s="187"/>
      <c r="I2332" s="187"/>
      <c r="J2332" s="187"/>
      <c r="K2332" s="187"/>
      <c r="L2332" s="187"/>
      <c r="M2332" s="187"/>
      <c r="N2332" s="187"/>
      <c r="O2332" s="187"/>
      <c r="P2332" s="187"/>
      <c r="Q2332" s="187"/>
      <c r="R2332" s="187"/>
      <c r="S2332" s="188"/>
    </row>
    <row r="2333" spans="2:19" ht="12.75">
      <c r="B2333" s="185"/>
      <c r="C2333" s="186"/>
      <c r="D2333" s="187"/>
      <c r="E2333" s="187"/>
      <c r="F2333" s="187"/>
      <c r="G2333" s="187"/>
      <c r="H2333" s="187"/>
      <c r="I2333" s="187"/>
      <c r="J2333" s="187"/>
      <c r="K2333" s="187"/>
      <c r="L2333" s="187"/>
      <c r="M2333" s="187"/>
      <c r="N2333" s="187"/>
      <c r="O2333" s="187"/>
      <c r="P2333" s="187"/>
      <c r="Q2333" s="187"/>
      <c r="R2333" s="187"/>
      <c r="S2333" s="188"/>
    </row>
    <row r="2334" spans="2:19" ht="12.75">
      <c r="B2334" s="185"/>
      <c r="C2334" s="186"/>
      <c r="D2334" s="187"/>
      <c r="E2334" s="187"/>
      <c r="F2334" s="187"/>
      <c r="G2334" s="187"/>
      <c r="H2334" s="187"/>
      <c r="I2334" s="187"/>
      <c r="J2334" s="187"/>
      <c r="K2334" s="187"/>
      <c r="L2334" s="187"/>
      <c r="M2334" s="187"/>
      <c r="N2334" s="187"/>
      <c r="O2334" s="187"/>
      <c r="P2334" s="187"/>
      <c r="Q2334" s="187"/>
      <c r="R2334" s="187"/>
      <c r="S2334" s="188"/>
    </row>
    <row r="2335" spans="2:19" ht="12.75">
      <c r="B2335" s="185"/>
      <c r="C2335" s="186"/>
      <c r="D2335" s="187"/>
      <c r="E2335" s="187"/>
      <c r="F2335" s="187"/>
      <c r="G2335" s="187"/>
      <c r="H2335" s="187"/>
      <c r="I2335" s="187"/>
      <c r="J2335" s="187"/>
      <c r="K2335" s="187"/>
      <c r="L2335" s="187"/>
      <c r="M2335" s="187"/>
      <c r="N2335" s="187"/>
      <c r="O2335" s="187"/>
      <c r="P2335" s="187"/>
      <c r="Q2335" s="187"/>
      <c r="R2335" s="187"/>
      <c r="S2335" s="188"/>
    </row>
    <row r="2336" spans="2:19" ht="12.75">
      <c r="B2336" s="185"/>
      <c r="C2336" s="186"/>
      <c r="D2336" s="187"/>
      <c r="E2336" s="187"/>
      <c r="F2336" s="187"/>
      <c r="G2336" s="187"/>
      <c r="H2336" s="187"/>
      <c r="I2336" s="187"/>
      <c r="J2336" s="187"/>
      <c r="K2336" s="187"/>
      <c r="L2336" s="187"/>
      <c r="M2336" s="187"/>
      <c r="N2336" s="187"/>
      <c r="O2336" s="187"/>
      <c r="P2336" s="187"/>
      <c r="Q2336" s="187"/>
      <c r="R2336" s="187"/>
      <c r="S2336" s="188"/>
    </row>
    <row r="2337" spans="2:19" ht="12.75">
      <c r="B2337" s="185"/>
      <c r="C2337" s="186"/>
      <c r="D2337" s="187"/>
      <c r="E2337" s="187"/>
      <c r="F2337" s="187"/>
      <c r="G2337" s="187"/>
      <c r="H2337" s="187"/>
      <c r="I2337" s="187"/>
      <c r="J2337" s="187"/>
      <c r="K2337" s="187"/>
      <c r="L2337" s="187"/>
      <c r="M2337" s="187"/>
      <c r="N2337" s="187"/>
      <c r="O2337" s="187"/>
      <c r="P2337" s="187"/>
      <c r="Q2337" s="187"/>
      <c r="R2337" s="187"/>
      <c r="S2337" s="188"/>
    </row>
    <row r="2338" spans="2:19" ht="12.75">
      <c r="B2338" s="185"/>
      <c r="C2338" s="186"/>
      <c r="D2338" s="187"/>
      <c r="E2338" s="187"/>
      <c r="F2338" s="187"/>
      <c r="G2338" s="187"/>
      <c r="H2338" s="187"/>
      <c r="I2338" s="187"/>
      <c r="J2338" s="187"/>
      <c r="K2338" s="187"/>
      <c r="L2338" s="187"/>
      <c r="M2338" s="187"/>
      <c r="N2338" s="187"/>
      <c r="O2338" s="187"/>
      <c r="P2338" s="187"/>
      <c r="Q2338" s="187"/>
      <c r="R2338" s="187"/>
      <c r="S2338" s="188"/>
    </row>
    <row r="2339" spans="2:19" ht="12.75">
      <c r="B2339" s="185"/>
      <c r="C2339" s="186"/>
      <c r="D2339" s="187"/>
      <c r="E2339" s="187"/>
      <c r="F2339" s="187"/>
      <c r="G2339" s="187"/>
      <c r="H2339" s="187"/>
      <c r="I2339" s="187"/>
      <c r="J2339" s="187"/>
      <c r="K2339" s="187"/>
      <c r="L2339" s="187"/>
      <c r="M2339" s="187"/>
      <c r="N2339" s="187"/>
      <c r="O2339" s="187"/>
      <c r="P2339" s="187"/>
      <c r="Q2339" s="187"/>
      <c r="R2339" s="187"/>
      <c r="S2339" s="188"/>
    </row>
    <row r="2340" spans="2:19" ht="12.75">
      <c r="B2340" s="185"/>
      <c r="C2340" s="186"/>
      <c r="D2340" s="187"/>
      <c r="E2340" s="187"/>
      <c r="F2340" s="187"/>
      <c r="G2340" s="187"/>
      <c r="H2340" s="187"/>
      <c r="I2340" s="187"/>
      <c r="J2340" s="187"/>
      <c r="K2340" s="187"/>
      <c r="L2340" s="187"/>
      <c r="M2340" s="187"/>
      <c r="N2340" s="187"/>
      <c r="O2340" s="187"/>
      <c r="P2340" s="187"/>
      <c r="Q2340" s="187"/>
      <c r="R2340" s="187"/>
      <c r="S2340" s="188"/>
    </row>
    <row r="2341" spans="2:19" ht="12.75">
      <c r="B2341" s="185"/>
      <c r="C2341" s="186"/>
      <c r="D2341" s="187"/>
      <c r="E2341" s="187"/>
      <c r="F2341" s="187"/>
      <c r="G2341" s="187"/>
      <c r="H2341" s="187"/>
      <c r="I2341" s="187"/>
      <c r="J2341" s="187"/>
      <c r="K2341" s="187"/>
      <c r="L2341" s="187"/>
      <c r="M2341" s="187"/>
      <c r="N2341" s="187"/>
      <c r="O2341" s="187"/>
      <c r="P2341" s="187"/>
      <c r="Q2341" s="187"/>
      <c r="R2341" s="187"/>
      <c r="S2341" s="188"/>
    </row>
    <row r="2342" spans="2:19" ht="12.75">
      <c r="B2342" s="185"/>
      <c r="C2342" s="186"/>
      <c r="D2342" s="187"/>
      <c r="E2342" s="187"/>
      <c r="F2342" s="187"/>
      <c r="G2342" s="187"/>
      <c r="H2342" s="187"/>
      <c r="I2342" s="187"/>
      <c r="J2342" s="187"/>
      <c r="K2342" s="187"/>
      <c r="L2342" s="187"/>
      <c r="M2342" s="187"/>
      <c r="N2342" s="187"/>
      <c r="O2342" s="187"/>
      <c r="P2342" s="187"/>
      <c r="Q2342" s="187"/>
      <c r="R2342" s="187"/>
      <c r="S2342" s="188"/>
    </row>
    <row r="2343" spans="2:19" ht="12.75">
      <c r="B2343" s="185"/>
      <c r="C2343" s="186"/>
      <c r="D2343" s="187"/>
      <c r="E2343" s="187"/>
      <c r="F2343" s="187"/>
      <c r="G2343" s="187"/>
      <c r="H2343" s="187"/>
      <c r="I2343" s="187"/>
      <c r="J2343" s="187"/>
      <c r="K2343" s="187"/>
      <c r="L2343" s="187"/>
      <c r="M2343" s="187"/>
      <c r="N2343" s="187"/>
      <c r="O2343" s="187"/>
      <c r="P2343" s="187"/>
      <c r="Q2343" s="187"/>
      <c r="R2343" s="187"/>
      <c r="S2343" s="188"/>
    </row>
    <row r="2344" spans="2:19" ht="12.75">
      <c r="B2344" s="185"/>
      <c r="C2344" s="186"/>
      <c r="D2344" s="187"/>
      <c r="E2344" s="187"/>
      <c r="F2344" s="187"/>
      <c r="G2344" s="187"/>
      <c r="H2344" s="187"/>
      <c r="I2344" s="187"/>
      <c r="J2344" s="187"/>
      <c r="K2344" s="187"/>
      <c r="L2344" s="187"/>
      <c r="M2344" s="187"/>
      <c r="N2344" s="187"/>
      <c r="O2344" s="187"/>
      <c r="P2344" s="187"/>
      <c r="Q2344" s="187"/>
      <c r="R2344" s="187"/>
      <c r="S2344" s="188"/>
    </row>
    <row r="2345" spans="2:19" ht="12.75">
      <c r="B2345" s="185"/>
      <c r="C2345" s="186"/>
      <c r="D2345" s="187"/>
      <c r="E2345" s="187"/>
      <c r="F2345" s="187"/>
      <c r="G2345" s="187"/>
      <c r="H2345" s="187"/>
      <c r="I2345" s="187"/>
      <c r="J2345" s="187"/>
      <c r="K2345" s="187"/>
      <c r="L2345" s="187"/>
      <c r="M2345" s="187"/>
      <c r="N2345" s="187"/>
      <c r="O2345" s="187"/>
      <c r="P2345" s="187"/>
      <c r="Q2345" s="187"/>
      <c r="R2345" s="187"/>
      <c r="S2345" s="188"/>
    </row>
    <row r="2346" spans="2:19" ht="12.75">
      <c r="B2346" s="185"/>
      <c r="C2346" s="186"/>
      <c r="D2346" s="187"/>
      <c r="E2346" s="187"/>
      <c r="F2346" s="187"/>
      <c r="G2346" s="187"/>
      <c r="H2346" s="187"/>
      <c r="I2346" s="187"/>
      <c r="J2346" s="187"/>
      <c r="K2346" s="187"/>
      <c r="L2346" s="187"/>
      <c r="M2346" s="187"/>
      <c r="N2346" s="187"/>
      <c r="O2346" s="187"/>
      <c r="P2346" s="187"/>
      <c r="Q2346" s="187"/>
      <c r="R2346" s="187"/>
      <c r="S2346" s="188"/>
    </row>
    <row r="2347" spans="2:19" ht="12.75">
      <c r="B2347" s="185"/>
      <c r="C2347" s="186"/>
      <c r="D2347" s="187"/>
      <c r="E2347" s="187"/>
      <c r="F2347" s="187"/>
      <c r="G2347" s="187"/>
      <c r="H2347" s="187"/>
      <c r="I2347" s="187"/>
      <c r="J2347" s="187"/>
      <c r="K2347" s="187"/>
      <c r="L2347" s="187"/>
      <c r="M2347" s="187"/>
      <c r="N2347" s="187"/>
      <c r="O2347" s="187"/>
      <c r="P2347" s="187"/>
      <c r="Q2347" s="187"/>
      <c r="R2347" s="187"/>
      <c r="S2347" s="188"/>
    </row>
    <row r="2348" spans="2:19" ht="12.75">
      <c r="B2348" s="185"/>
      <c r="C2348" s="186"/>
      <c r="D2348" s="187"/>
      <c r="E2348" s="187"/>
      <c r="F2348" s="187"/>
      <c r="G2348" s="187"/>
      <c r="H2348" s="187"/>
      <c r="I2348" s="187"/>
      <c r="J2348" s="187"/>
      <c r="K2348" s="187"/>
      <c r="L2348" s="187"/>
      <c r="M2348" s="187"/>
      <c r="N2348" s="187"/>
      <c r="O2348" s="187"/>
      <c r="P2348" s="187"/>
      <c r="Q2348" s="187"/>
      <c r="R2348" s="187"/>
      <c r="S2348" s="188"/>
    </row>
    <row r="2349" spans="2:19" ht="12.75">
      <c r="B2349" s="185"/>
      <c r="C2349" s="186"/>
      <c r="D2349" s="187"/>
      <c r="E2349" s="187"/>
      <c r="F2349" s="187"/>
      <c r="G2349" s="187"/>
      <c r="H2349" s="187"/>
      <c r="I2349" s="187"/>
      <c r="J2349" s="187"/>
      <c r="K2349" s="187"/>
      <c r="L2349" s="187"/>
      <c r="M2349" s="187"/>
      <c r="N2349" s="187"/>
      <c r="O2349" s="187"/>
      <c r="P2349" s="187"/>
      <c r="Q2349" s="187"/>
      <c r="R2349" s="187"/>
      <c r="S2349" s="188"/>
    </row>
    <row r="2350" spans="2:19" ht="12.75">
      <c r="B2350" s="185"/>
      <c r="C2350" s="186"/>
      <c r="D2350" s="187"/>
      <c r="E2350" s="187"/>
      <c r="F2350" s="187"/>
      <c r="G2350" s="187"/>
      <c r="H2350" s="187"/>
      <c r="I2350" s="187"/>
      <c r="J2350" s="187"/>
      <c r="K2350" s="187"/>
      <c r="L2350" s="187"/>
      <c r="M2350" s="187"/>
      <c r="N2350" s="187"/>
      <c r="O2350" s="187"/>
      <c r="P2350" s="187"/>
      <c r="Q2350" s="187"/>
      <c r="R2350" s="187"/>
      <c r="S2350" s="188"/>
    </row>
    <row r="2351" spans="2:19" ht="12.75">
      <c r="B2351" s="185"/>
      <c r="C2351" s="186"/>
      <c r="D2351" s="187"/>
      <c r="E2351" s="187"/>
      <c r="F2351" s="187"/>
      <c r="G2351" s="187"/>
      <c r="H2351" s="187"/>
      <c r="I2351" s="187"/>
      <c r="J2351" s="187"/>
      <c r="K2351" s="187"/>
      <c r="L2351" s="187"/>
      <c r="M2351" s="187"/>
      <c r="N2351" s="187"/>
      <c r="O2351" s="187"/>
      <c r="P2351" s="187"/>
      <c r="Q2351" s="187"/>
      <c r="R2351" s="187"/>
      <c r="S2351" s="188"/>
    </row>
    <row r="2352" spans="2:19" ht="12.75">
      <c r="B2352" s="185"/>
      <c r="C2352" s="186"/>
      <c r="D2352" s="187"/>
      <c r="E2352" s="187"/>
      <c r="F2352" s="187"/>
      <c r="G2352" s="187"/>
      <c r="H2352" s="187"/>
      <c r="I2352" s="187"/>
      <c r="J2352" s="187"/>
      <c r="K2352" s="187"/>
      <c r="L2352" s="187"/>
      <c r="M2352" s="187"/>
      <c r="N2352" s="187"/>
      <c r="O2352" s="187"/>
      <c r="P2352" s="187"/>
      <c r="Q2352" s="187"/>
      <c r="R2352" s="187"/>
      <c r="S2352" s="188"/>
    </row>
    <row r="2353" spans="2:19" ht="12.75">
      <c r="B2353" s="185"/>
      <c r="C2353" s="186"/>
      <c r="D2353" s="187"/>
      <c r="E2353" s="187"/>
      <c r="F2353" s="187"/>
      <c r="G2353" s="187"/>
      <c r="H2353" s="187"/>
      <c r="I2353" s="187"/>
      <c r="J2353" s="187"/>
      <c r="K2353" s="187"/>
      <c r="L2353" s="187"/>
      <c r="M2353" s="187"/>
      <c r="N2353" s="187"/>
      <c r="O2353" s="187"/>
      <c r="P2353" s="187"/>
      <c r="Q2353" s="187"/>
      <c r="R2353" s="187"/>
      <c r="S2353" s="188"/>
    </row>
    <row r="2354" spans="2:19" ht="12.75">
      <c r="B2354" s="185"/>
      <c r="C2354" s="186"/>
      <c r="D2354" s="187"/>
      <c r="E2354" s="187"/>
      <c r="F2354" s="187"/>
      <c r="G2354" s="187"/>
      <c r="H2354" s="187"/>
      <c r="I2354" s="187"/>
      <c r="J2354" s="187"/>
      <c r="K2354" s="187"/>
      <c r="L2354" s="187"/>
      <c r="M2354" s="187"/>
      <c r="N2354" s="187"/>
      <c r="O2354" s="187"/>
      <c r="P2354" s="187"/>
      <c r="Q2354" s="187"/>
      <c r="R2354" s="187"/>
      <c r="S2354" s="188"/>
    </row>
    <row r="2355" spans="2:19" ht="12.75">
      <c r="B2355" s="185"/>
      <c r="C2355" s="186"/>
      <c r="D2355" s="187"/>
      <c r="E2355" s="187"/>
      <c r="F2355" s="187"/>
      <c r="G2355" s="187"/>
      <c r="H2355" s="187"/>
      <c r="I2355" s="187"/>
      <c r="J2355" s="187"/>
      <c r="K2355" s="187"/>
      <c r="L2355" s="187"/>
      <c r="M2355" s="187"/>
      <c r="N2355" s="187"/>
      <c r="O2355" s="187"/>
      <c r="P2355" s="187"/>
      <c r="Q2355" s="187"/>
      <c r="R2355" s="187"/>
      <c r="S2355" s="188"/>
    </row>
    <row r="2356" spans="2:19" ht="12.75">
      <c r="B2356" s="185"/>
      <c r="C2356" s="186"/>
      <c r="D2356" s="187"/>
      <c r="E2356" s="187"/>
      <c r="F2356" s="187"/>
      <c r="G2356" s="187"/>
      <c r="H2356" s="187"/>
      <c r="I2356" s="187"/>
      <c r="J2356" s="187"/>
      <c r="K2356" s="187"/>
      <c r="L2356" s="187"/>
      <c r="M2356" s="187"/>
      <c r="N2356" s="187"/>
      <c r="O2356" s="187"/>
      <c r="P2356" s="187"/>
      <c r="Q2356" s="187"/>
      <c r="R2356" s="187"/>
      <c r="S2356" s="188"/>
    </row>
    <row r="2357" spans="2:19" ht="12.75">
      <c r="B2357" s="185"/>
      <c r="C2357" s="186"/>
      <c r="D2357" s="187"/>
      <c r="E2357" s="187"/>
      <c r="F2357" s="187"/>
      <c r="G2357" s="187"/>
      <c r="H2357" s="187"/>
      <c r="I2357" s="187"/>
      <c r="J2357" s="187"/>
      <c r="K2357" s="187"/>
      <c r="L2357" s="187"/>
      <c r="M2357" s="187"/>
      <c r="N2357" s="187"/>
      <c r="O2357" s="187"/>
      <c r="P2357" s="187"/>
      <c r="Q2357" s="187"/>
      <c r="R2357" s="187"/>
      <c r="S2357" s="188"/>
    </row>
    <row r="2358" spans="2:19" ht="12.75">
      <c r="B2358" s="185"/>
      <c r="C2358" s="186"/>
      <c r="D2358" s="187"/>
      <c r="E2358" s="187"/>
      <c r="F2358" s="187"/>
      <c r="G2358" s="187"/>
      <c r="H2358" s="187"/>
      <c r="I2358" s="187"/>
      <c r="J2358" s="187"/>
      <c r="K2358" s="187"/>
      <c r="L2358" s="187"/>
      <c r="M2358" s="187"/>
      <c r="N2358" s="187"/>
      <c r="O2358" s="187"/>
      <c r="P2358" s="187"/>
      <c r="Q2358" s="187"/>
      <c r="R2358" s="187"/>
      <c r="S2358" s="188"/>
    </row>
    <row r="2359" spans="2:19" ht="12.75">
      <c r="B2359" s="185"/>
      <c r="C2359" s="186"/>
      <c r="D2359" s="187"/>
      <c r="E2359" s="187"/>
      <c r="F2359" s="187"/>
      <c r="G2359" s="187"/>
      <c r="H2359" s="187"/>
      <c r="I2359" s="187"/>
      <c r="J2359" s="187"/>
      <c r="K2359" s="187"/>
      <c r="L2359" s="187"/>
      <c r="M2359" s="187"/>
      <c r="N2359" s="187"/>
      <c r="O2359" s="187"/>
      <c r="P2359" s="187"/>
      <c r="Q2359" s="187"/>
      <c r="R2359" s="187"/>
      <c r="S2359" s="188"/>
    </row>
    <row r="2360" spans="2:19" ht="12.75">
      <c r="B2360" s="185"/>
      <c r="C2360" s="186"/>
      <c r="D2360" s="187"/>
      <c r="E2360" s="187"/>
      <c r="F2360" s="187"/>
      <c r="G2360" s="187"/>
      <c r="H2360" s="187"/>
      <c r="I2360" s="187"/>
      <c r="J2360" s="187"/>
      <c r="K2360" s="187"/>
      <c r="L2360" s="187"/>
      <c r="M2360" s="187"/>
      <c r="N2360" s="187"/>
      <c r="O2360" s="187"/>
      <c r="P2360" s="187"/>
      <c r="Q2360" s="187"/>
      <c r="R2360" s="187"/>
      <c r="S2360" s="188"/>
    </row>
    <row r="2361" spans="2:19" ht="12.75">
      <c r="B2361" s="185"/>
      <c r="C2361" s="186"/>
      <c r="D2361" s="187"/>
      <c r="E2361" s="187"/>
      <c r="F2361" s="187"/>
      <c r="G2361" s="187"/>
      <c r="H2361" s="187"/>
      <c r="I2361" s="187"/>
      <c r="J2361" s="187"/>
      <c r="K2361" s="187"/>
      <c r="L2361" s="187"/>
      <c r="M2361" s="187"/>
      <c r="N2361" s="187"/>
      <c r="O2361" s="187"/>
      <c r="P2361" s="187"/>
      <c r="Q2361" s="187"/>
      <c r="R2361" s="187"/>
      <c r="S2361" s="188"/>
    </row>
    <row r="2362" spans="2:19" ht="12.75">
      <c r="B2362" s="185"/>
      <c r="C2362" s="186"/>
      <c r="D2362" s="187"/>
      <c r="E2362" s="187"/>
      <c r="F2362" s="187"/>
      <c r="G2362" s="187"/>
      <c r="H2362" s="187"/>
      <c r="I2362" s="187"/>
      <c r="J2362" s="187"/>
      <c r="K2362" s="187"/>
      <c r="L2362" s="187"/>
      <c r="M2362" s="187"/>
      <c r="N2362" s="187"/>
      <c r="O2362" s="187"/>
      <c r="P2362" s="187"/>
      <c r="Q2362" s="187"/>
      <c r="R2362" s="187"/>
      <c r="S2362" s="188"/>
    </row>
    <row r="2363" spans="2:19" ht="12.75">
      <c r="B2363" s="185"/>
      <c r="C2363" s="186"/>
      <c r="D2363" s="187"/>
      <c r="E2363" s="187"/>
      <c r="F2363" s="187"/>
      <c r="G2363" s="187"/>
      <c r="H2363" s="187"/>
      <c r="I2363" s="187"/>
      <c r="J2363" s="187"/>
      <c r="K2363" s="187"/>
      <c r="L2363" s="187"/>
      <c r="M2363" s="187"/>
      <c r="N2363" s="187"/>
      <c r="O2363" s="187"/>
      <c r="P2363" s="187"/>
      <c r="Q2363" s="187"/>
      <c r="R2363" s="187"/>
      <c r="S2363" s="188"/>
    </row>
    <row r="2364" spans="2:19" ht="12.75">
      <c r="B2364" s="185"/>
      <c r="C2364" s="186"/>
      <c r="D2364" s="187"/>
      <c r="E2364" s="187"/>
      <c r="F2364" s="187"/>
      <c r="G2364" s="187"/>
      <c r="H2364" s="187"/>
      <c r="I2364" s="187"/>
      <c r="J2364" s="187"/>
      <c r="K2364" s="187"/>
      <c r="L2364" s="187"/>
      <c r="M2364" s="187"/>
      <c r="N2364" s="187"/>
      <c r="O2364" s="187"/>
      <c r="P2364" s="187"/>
      <c r="Q2364" s="187"/>
      <c r="R2364" s="187"/>
      <c r="S2364" s="188"/>
    </row>
    <row r="2365" spans="2:19" ht="12.75">
      <c r="B2365" s="185"/>
      <c r="C2365" s="186"/>
      <c r="D2365" s="187"/>
      <c r="E2365" s="187"/>
      <c r="F2365" s="187"/>
      <c r="G2365" s="187"/>
      <c r="H2365" s="187"/>
      <c r="I2365" s="187"/>
      <c r="J2365" s="187"/>
      <c r="K2365" s="187"/>
      <c r="L2365" s="187"/>
      <c r="M2365" s="187"/>
      <c r="N2365" s="187"/>
      <c r="O2365" s="187"/>
      <c r="P2365" s="187"/>
      <c r="Q2365" s="187"/>
      <c r="R2365" s="187"/>
      <c r="S2365" s="188"/>
    </row>
    <row r="2366" spans="2:19" ht="12.75">
      <c r="B2366" s="185"/>
      <c r="C2366" s="186"/>
      <c r="D2366" s="187"/>
      <c r="E2366" s="187"/>
      <c r="F2366" s="187"/>
      <c r="G2366" s="187"/>
      <c r="H2366" s="187"/>
      <c r="I2366" s="187"/>
      <c r="J2366" s="187"/>
      <c r="K2366" s="187"/>
      <c r="L2366" s="187"/>
      <c r="M2366" s="187"/>
      <c r="N2366" s="187"/>
      <c r="O2366" s="187"/>
      <c r="P2366" s="187"/>
      <c r="Q2366" s="187"/>
      <c r="R2366" s="187"/>
      <c r="S2366" s="188"/>
    </row>
    <row r="2367" spans="2:19" ht="12.75">
      <c r="B2367" s="185"/>
      <c r="C2367" s="186"/>
      <c r="D2367" s="187"/>
      <c r="E2367" s="187"/>
      <c r="F2367" s="187"/>
      <c r="G2367" s="187"/>
      <c r="H2367" s="187"/>
      <c r="I2367" s="187"/>
      <c r="J2367" s="187"/>
      <c r="K2367" s="187"/>
      <c r="L2367" s="187"/>
      <c r="M2367" s="187"/>
      <c r="N2367" s="187"/>
      <c r="O2367" s="187"/>
      <c r="P2367" s="187"/>
      <c r="Q2367" s="187"/>
      <c r="R2367" s="187"/>
      <c r="S2367" s="188"/>
    </row>
    <row r="2368" spans="2:19" ht="12.75">
      <c r="B2368" s="185"/>
      <c r="C2368" s="186"/>
      <c r="D2368" s="187"/>
      <c r="E2368" s="187"/>
      <c r="F2368" s="187"/>
      <c r="G2368" s="187"/>
      <c r="H2368" s="187"/>
      <c r="I2368" s="187"/>
      <c r="J2368" s="187"/>
      <c r="K2368" s="187"/>
      <c r="L2368" s="187"/>
      <c r="M2368" s="187"/>
      <c r="N2368" s="187"/>
      <c r="O2368" s="187"/>
      <c r="P2368" s="187"/>
      <c r="Q2368" s="187"/>
      <c r="R2368" s="187"/>
      <c r="S2368" s="188"/>
    </row>
    <row r="2369" spans="2:19" ht="12.75">
      <c r="B2369" s="185"/>
      <c r="C2369" s="186"/>
      <c r="D2369" s="187"/>
      <c r="E2369" s="187"/>
      <c r="F2369" s="187"/>
      <c r="G2369" s="187"/>
      <c r="H2369" s="187"/>
      <c r="I2369" s="187"/>
      <c r="J2369" s="187"/>
      <c r="K2369" s="187"/>
      <c r="L2369" s="187"/>
      <c r="M2369" s="187"/>
      <c r="N2369" s="187"/>
      <c r="O2369" s="187"/>
      <c r="P2369" s="187"/>
      <c r="Q2369" s="187"/>
      <c r="R2369" s="187"/>
      <c r="S2369" s="188"/>
    </row>
    <row r="2370" spans="2:19" ht="12.75">
      <c r="B2370" s="185"/>
      <c r="C2370" s="186"/>
      <c r="D2370" s="187"/>
      <c r="E2370" s="187"/>
      <c r="F2370" s="187"/>
      <c r="G2370" s="187"/>
      <c r="H2370" s="187"/>
      <c r="I2370" s="187"/>
      <c r="J2370" s="187"/>
      <c r="K2370" s="187"/>
      <c r="L2370" s="187"/>
      <c r="M2370" s="187"/>
      <c r="N2370" s="187"/>
      <c r="O2370" s="187"/>
      <c r="P2370" s="187"/>
      <c r="Q2370" s="187"/>
      <c r="R2370" s="187"/>
      <c r="S2370" s="188"/>
    </row>
    <row r="2371" spans="2:19" ht="12.75">
      <c r="B2371" s="185"/>
      <c r="C2371" s="186"/>
      <c r="D2371" s="187"/>
      <c r="E2371" s="187"/>
      <c r="F2371" s="187"/>
      <c r="G2371" s="187"/>
      <c r="H2371" s="187"/>
      <c r="I2371" s="187"/>
      <c r="J2371" s="187"/>
      <c r="K2371" s="187"/>
      <c r="L2371" s="187"/>
      <c r="M2371" s="187"/>
      <c r="N2371" s="187"/>
      <c r="O2371" s="187"/>
      <c r="P2371" s="187"/>
      <c r="Q2371" s="187"/>
      <c r="R2371" s="187"/>
      <c r="S2371" s="188"/>
    </row>
    <row r="2372" spans="2:19" ht="12.75">
      <c r="B2372" s="185"/>
      <c r="C2372" s="186"/>
      <c r="D2372" s="187"/>
      <c r="E2372" s="187"/>
      <c r="F2372" s="187"/>
      <c r="G2372" s="187"/>
      <c r="H2372" s="187"/>
      <c r="I2372" s="187"/>
      <c r="J2372" s="187"/>
      <c r="K2372" s="187"/>
      <c r="L2372" s="187"/>
      <c r="M2372" s="187"/>
      <c r="N2372" s="187"/>
      <c r="O2372" s="187"/>
      <c r="P2372" s="187"/>
      <c r="Q2372" s="187"/>
      <c r="R2372" s="187"/>
      <c r="S2372" s="188"/>
    </row>
    <row r="2373" spans="2:19" ht="12.75">
      <c r="B2373" s="185"/>
      <c r="C2373" s="186"/>
      <c r="D2373" s="187"/>
      <c r="E2373" s="187"/>
      <c r="F2373" s="187"/>
      <c r="G2373" s="187"/>
      <c r="H2373" s="187"/>
      <c r="I2373" s="187"/>
      <c r="J2373" s="187"/>
      <c r="K2373" s="187"/>
      <c r="L2373" s="187"/>
      <c r="M2373" s="187"/>
      <c r="N2373" s="187"/>
      <c r="O2373" s="187"/>
      <c r="P2373" s="187"/>
      <c r="Q2373" s="187"/>
      <c r="R2373" s="187"/>
      <c r="S2373" s="188"/>
    </row>
    <row r="2374" spans="2:19" ht="12.75">
      <c r="B2374" s="185"/>
      <c r="C2374" s="186"/>
      <c r="D2374" s="187"/>
      <c r="E2374" s="187"/>
      <c r="F2374" s="187"/>
      <c r="G2374" s="187"/>
      <c r="H2374" s="187"/>
      <c r="I2374" s="187"/>
      <c r="J2374" s="187"/>
      <c r="K2374" s="187"/>
      <c r="L2374" s="187"/>
      <c r="M2374" s="187"/>
      <c r="N2374" s="187"/>
      <c r="O2374" s="187"/>
      <c r="P2374" s="187"/>
      <c r="Q2374" s="187"/>
      <c r="R2374" s="187"/>
      <c r="S2374" s="188"/>
    </row>
    <row r="2375" spans="2:19" ht="12.75">
      <c r="B2375" s="185"/>
      <c r="C2375" s="186"/>
      <c r="D2375" s="187"/>
      <c r="E2375" s="187"/>
      <c r="F2375" s="187"/>
      <c r="G2375" s="187"/>
      <c r="H2375" s="187"/>
      <c r="I2375" s="187"/>
      <c r="J2375" s="187"/>
      <c r="K2375" s="187"/>
      <c r="L2375" s="187"/>
      <c r="M2375" s="187"/>
      <c r="N2375" s="187"/>
      <c r="O2375" s="187"/>
      <c r="P2375" s="187"/>
      <c r="Q2375" s="187"/>
      <c r="R2375" s="187"/>
      <c r="S2375" s="188"/>
    </row>
    <row r="2376" spans="2:19" ht="12.75">
      <c r="B2376" s="185"/>
      <c r="C2376" s="186"/>
      <c r="D2376" s="187"/>
      <c r="E2376" s="187"/>
      <c r="F2376" s="187"/>
      <c r="G2376" s="187"/>
      <c r="H2376" s="187"/>
      <c r="I2376" s="187"/>
      <c r="J2376" s="187"/>
      <c r="K2376" s="187"/>
      <c r="L2376" s="187"/>
      <c r="M2376" s="187"/>
      <c r="N2376" s="187"/>
      <c r="O2376" s="187"/>
      <c r="P2376" s="187"/>
      <c r="Q2376" s="187"/>
      <c r="R2376" s="187"/>
      <c r="S2376" s="188"/>
    </row>
    <row r="2377" spans="2:19" ht="12.75">
      <c r="B2377" s="185"/>
      <c r="C2377" s="186"/>
      <c r="D2377" s="187"/>
      <c r="E2377" s="187"/>
      <c r="F2377" s="187"/>
      <c r="G2377" s="187"/>
      <c r="H2377" s="187"/>
      <c r="I2377" s="187"/>
      <c r="J2377" s="187"/>
      <c r="K2377" s="187"/>
      <c r="L2377" s="187"/>
      <c r="M2377" s="187"/>
      <c r="N2377" s="187"/>
      <c r="O2377" s="187"/>
      <c r="P2377" s="187"/>
      <c r="Q2377" s="187"/>
      <c r="R2377" s="187"/>
      <c r="S2377" s="188"/>
    </row>
    <row r="2378" spans="2:19" ht="12.75">
      <c r="B2378" s="185"/>
      <c r="C2378" s="186"/>
      <c r="D2378" s="187"/>
      <c r="E2378" s="187"/>
      <c r="F2378" s="187"/>
      <c r="G2378" s="187"/>
      <c r="H2378" s="187"/>
      <c r="I2378" s="187"/>
      <c r="J2378" s="187"/>
      <c r="K2378" s="187"/>
      <c r="L2378" s="187"/>
      <c r="M2378" s="187"/>
      <c r="N2378" s="187"/>
      <c r="O2378" s="187"/>
      <c r="P2378" s="187"/>
      <c r="Q2378" s="187"/>
      <c r="R2378" s="187"/>
      <c r="S2378" s="188"/>
    </row>
    <row r="2379" spans="2:19" ht="12.75">
      <c r="B2379" s="185"/>
      <c r="C2379" s="186"/>
      <c r="D2379" s="187"/>
      <c r="E2379" s="187"/>
      <c r="F2379" s="187"/>
      <c r="G2379" s="187"/>
      <c r="H2379" s="187"/>
      <c r="I2379" s="187"/>
      <c r="J2379" s="187"/>
      <c r="K2379" s="187"/>
      <c r="L2379" s="187"/>
      <c r="M2379" s="187"/>
      <c r="N2379" s="187"/>
      <c r="O2379" s="187"/>
      <c r="P2379" s="187"/>
      <c r="Q2379" s="187"/>
      <c r="R2379" s="187"/>
      <c r="S2379" s="188"/>
    </row>
    <row r="2380" spans="2:19" ht="12.75">
      <c r="B2380" s="185"/>
      <c r="C2380" s="186"/>
      <c r="D2380" s="187"/>
      <c r="E2380" s="187"/>
      <c r="F2380" s="187"/>
      <c r="G2380" s="187"/>
      <c r="H2380" s="187"/>
      <c r="I2380" s="187"/>
      <c r="J2380" s="187"/>
      <c r="K2380" s="187"/>
      <c r="L2380" s="187"/>
      <c r="M2380" s="187"/>
      <c r="N2380" s="187"/>
      <c r="O2380" s="187"/>
      <c r="P2380" s="187"/>
      <c r="Q2380" s="187"/>
      <c r="R2380" s="187"/>
      <c r="S2380" s="188"/>
    </row>
    <row r="2381" spans="2:19" ht="12.75">
      <c r="B2381" s="185"/>
      <c r="C2381" s="186"/>
      <c r="D2381" s="187"/>
      <c r="E2381" s="187"/>
      <c r="F2381" s="187"/>
      <c r="G2381" s="187"/>
      <c r="H2381" s="187"/>
      <c r="I2381" s="187"/>
      <c r="J2381" s="187"/>
      <c r="K2381" s="187"/>
      <c r="L2381" s="187"/>
      <c r="M2381" s="187"/>
      <c r="N2381" s="187"/>
      <c r="O2381" s="187"/>
      <c r="P2381" s="187"/>
      <c r="Q2381" s="187"/>
      <c r="R2381" s="187"/>
      <c r="S2381" s="188"/>
    </row>
    <row r="2382" spans="2:19" ht="12.75">
      <c r="B2382" s="185"/>
      <c r="C2382" s="186"/>
      <c r="D2382" s="187"/>
      <c r="E2382" s="187"/>
      <c r="F2382" s="187"/>
      <c r="G2382" s="187"/>
      <c r="H2382" s="187"/>
      <c r="I2382" s="187"/>
      <c r="J2382" s="187"/>
      <c r="K2382" s="187"/>
      <c r="L2382" s="187"/>
      <c r="M2382" s="187"/>
      <c r="N2382" s="187"/>
      <c r="O2382" s="187"/>
      <c r="P2382" s="187"/>
      <c r="Q2382" s="187"/>
      <c r="R2382" s="187"/>
      <c r="S2382" s="188"/>
    </row>
    <row r="2383" spans="2:19" ht="12.75">
      <c r="B2383" s="185"/>
      <c r="C2383" s="186"/>
      <c r="D2383" s="187"/>
      <c r="E2383" s="187"/>
      <c r="F2383" s="187"/>
      <c r="G2383" s="187"/>
      <c r="H2383" s="187"/>
      <c r="I2383" s="187"/>
      <c r="J2383" s="187"/>
      <c r="K2383" s="187"/>
      <c r="L2383" s="187"/>
      <c r="M2383" s="187"/>
      <c r="N2383" s="187"/>
      <c r="O2383" s="187"/>
      <c r="P2383" s="187"/>
      <c r="Q2383" s="187"/>
      <c r="R2383" s="187"/>
      <c r="S2383" s="188"/>
    </row>
    <row r="2384" spans="2:19" ht="12.75">
      <c r="B2384" s="185"/>
      <c r="C2384" s="186"/>
      <c r="D2384" s="187"/>
      <c r="E2384" s="187"/>
      <c r="F2384" s="187"/>
      <c r="G2384" s="187"/>
      <c r="H2384" s="187"/>
      <c r="I2384" s="187"/>
      <c r="J2384" s="187"/>
      <c r="K2384" s="187"/>
      <c r="L2384" s="187"/>
      <c r="M2384" s="187"/>
      <c r="N2384" s="187"/>
      <c r="O2384" s="187"/>
      <c r="P2384" s="187"/>
      <c r="Q2384" s="187"/>
      <c r="R2384" s="187"/>
      <c r="S2384" s="188"/>
    </row>
    <row r="2385" spans="2:19" ht="12.75">
      <c r="B2385" s="185"/>
      <c r="C2385" s="186"/>
      <c r="D2385" s="187"/>
      <c r="E2385" s="187"/>
      <c r="F2385" s="187"/>
      <c r="G2385" s="187"/>
      <c r="H2385" s="187"/>
      <c r="I2385" s="187"/>
      <c r="J2385" s="187"/>
      <c r="K2385" s="187"/>
      <c r="L2385" s="187"/>
      <c r="M2385" s="187"/>
      <c r="N2385" s="187"/>
      <c r="O2385" s="187"/>
      <c r="P2385" s="187"/>
      <c r="Q2385" s="187"/>
      <c r="R2385" s="187"/>
      <c r="S2385" s="188"/>
    </row>
    <row r="2386" spans="2:19" ht="12.75">
      <c r="B2386" s="185"/>
      <c r="C2386" s="186"/>
      <c r="D2386" s="187"/>
      <c r="E2386" s="187"/>
      <c r="F2386" s="187"/>
      <c r="G2386" s="187"/>
      <c r="H2386" s="187"/>
      <c r="I2386" s="187"/>
      <c r="J2386" s="187"/>
      <c r="K2386" s="187"/>
      <c r="L2386" s="187"/>
      <c r="M2386" s="187"/>
      <c r="N2386" s="187"/>
      <c r="O2386" s="187"/>
      <c r="P2386" s="187"/>
      <c r="Q2386" s="187"/>
      <c r="R2386" s="187"/>
      <c r="S2386" s="188"/>
    </row>
    <row r="2387" spans="2:19" ht="12.75">
      <c r="B2387" s="185"/>
      <c r="C2387" s="186"/>
      <c r="D2387" s="187"/>
      <c r="E2387" s="187"/>
      <c r="F2387" s="187"/>
      <c r="G2387" s="187"/>
      <c r="H2387" s="187"/>
      <c r="I2387" s="187"/>
      <c r="J2387" s="187"/>
      <c r="K2387" s="187"/>
      <c r="L2387" s="187"/>
      <c r="M2387" s="187"/>
      <c r="N2387" s="187"/>
      <c r="O2387" s="187"/>
      <c r="P2387" s="187"/>
      <c r="Q2387" s="187"/>
      <c r="R2387" s="187"/>
      <c r="S2387" s="188"/>
    </row>
    <row r="2388" spans="2:19" ht="12.75">
      <c r="B2388" s="185"/>
      <c r="C2388" s="186"/>
      <c r="D2388" s="187"/>
      <c r="E2388" s="187"/>
      <c r="F2388" s="187"/>
      <c r="G2388" s="187"/>
      <c r="H2388" s="187"/>
      <c r="I2388" s="187"/>
      <c r="J2388" s="187"/>
      <c r="K2388" s="187"/>
      <c r="L2388" s="187"/>
      <c r="M2388" s="187"/>
      <c r="N2388" s="187"/>
      <c r="O2388" s="187"/>
      <c r="P2388" s="187"/>
      <c r="Q2388" s="187"/>
      <c r="R2388" s="187"/>
      <c r="S2388" s="188"/>
    </row>
    <row r="2389" spans="2:19" ht="12.75">
      <c r="B2389" s="185"/>
      <c r="C2389" s="186"/>
      <c r="D2389" s="187"/>
      <c r="E2389" s="187"/>
      <c r="F2389" s="187"/>
      <c r="G2389" s="187"/>
      <c r="H2389" s="187"/>
      <c r="I2389" s="187"/>
      <c r="J2389" s="187"/>
      <c r="K2389" s="187"/>
      <c r="L2389" s="187"/>
      <c r="M2389" s="187"/>
      <c r="N2389" s="187"/>
      <c r="O2389" s="187"/>
      <c r="P2389" s="187"/>
      <c r="Q2389" s="187"/>
      <c r="R2389" s="187"/>
      <c r="S2389" s="188"/>
    </row>
    <row r="2390" spans="2:19" ht="12.75">
      <c r="B2390" s="185"/>
      <c r="C2390" s="186"/>
      <c r="D2390" s="187"/>
      <c r="E2390" s="187"/>
      <c r="F2390" s="187"/>
      <c r="G2390" s="187"/>
      <c r="H2390" s="187"/>
      <c r="I2390" s="187"/>
      <c r="J2390" s="187"/>
      <c r="K2390" s="187"/>
      <c r="L2390" s="187"/>
      <c r="M2390" s="187"/>
      <c r="N2390" s="187"/>
      <c r="O2390" s="187"/>
      <c r="P2390" s="187"/>
      <c r="Q2390" s="187"/>
      <c r="R2390" s="187"/>
      <c r="S2390" s="188"/>
    </row>
    <row r="2391" spans="2:19" ht="12.75">
      <c r="B2391" s="185"/>
      <c r="C2391" s="186"/>
      <c r="D2391" s="187"/>
      <c r="E2391" s="187"/>
      <c r="F2391" s="187"/>
      <c r="G2391" s="187"/>
      <c r="H2391" s="187"/>
      <c r="I2391" s="187"/>
      <c r="J2391" s="187"/>
      <c r="K2391" s="187"/>
      <c r="L2391" s="187"/>
      <c r="M2391" s="187"/>
      <c r="N2391" s="187"/>
      <c r="O2391" s="187"/>
      <c r="P2391" s="187"/>
      <c r="Q2391" s="187"/>
      <c r="R2391" s="187"/>
      <c r="S2391" s="188"/>
    </row>
    <row r="2392" spans="2:19" ht="12.75">
      <c r="B2392" s="185"/>
      <c r="C2392" s="186"/>
      <c r="D2392" s="187"/>
      <c r="E2392" s="187"/>
      <c r="F2392" s="187"/>
      <c r="G2392" s="187"/>
      <c r="H2392" s="187"/>
      <c r="I2392" s="187"/>
      <c r="J2392" s="187"/>
      <c r="K2392" s="187"/>
      <c r="L2392" s="187"/>
      <c r="M2392" s="187"/>
      <c r="N2392" s="187"/>
      <c r="O2392" s="187"/>
      <c r="P2392" s="187"/>
      <c r="Q2392" s="187"/>
      <c r="R2392" s="187"/>
      <c r="S2392" s="188"/>
    </row>
    <row r="2393" spans="2:19" ht="12.75">
      <c r="B2393" s="185"/>
      <c r="C2393" s="186"/>
      <c r="D2393" s="187"/>
      <c r="E2393" s="187"/>
      <c r="F2393" s="187"/>
      <c r="G2393" s="187"/>
      <c r="H2393" s="187"/>
      <c r="I2393" s="187"/>
      <c r="J2393" s="187"/>
      <c r="K2393" s="187"/>
      <c r="L2393" s="187"/>
      <c r="M2393" s="187"/>
      <c r="N2393" s="187"/>
      <c r="O2393" s="187"/>
      <c r="P2393" s="187"/>
      <c r="Q2393" s="187"/>
      <c r="R2393" s="187"/>
      <c r="S2393" s="188"/>
    </row>
    <row r="2394" spans="2:19" ht="12.75">
      <c r="B2394" s="185"/>
      <c r="C2394" s="186"/>
      <c r="D2394" s="187"/>
      <c r="E2394" s="187"/>
      <c r="F2394" s="187"/>
      <c r="G2394" s="187"/>
      <c r="H2394" s="187"/>
      <c r="I2394" s="187"/>
      <c r="J2394" s="187"/>
      <c r="K2394" s="187"/>
      <c r="L2394" s="187"/>
      <c r="M2394" s="187"/>
      <c r="N2394" s="187"/>
      <c r="O2394" s="187"/>
      <c r="P2394" s="187"/>
      <c r="Q2394" s="187"/>
      <c r="R2394" s="187"/>
      <c r="S2394" s="188"/>
    </row>
    <row r="2395" spans="2:19" ht="12.75">
      <c r="B2395" s="185"/>
      <c r="C2395" s="186"/>
      <c r="D2395" s="187"/>
      <c r="E2395" s="187"/>
      <c r="F2395" s="187"/>
      <c r="G2395" s="187"/>
      <c r="H2395" s="187"/>
      <c r="I2395" s="187"/>
      <c r="J2395" s="187"/>
      <c r="K2395" s="187"/>
      <c r="L2395" s="187"/>
      <c r="M2395" s="187"/>
      <c r="N2395" s="187"/>
      <c r="O2395" s="187"/>
      <c r="P2395" s="187"/>
      <c r="Q2395" s="187"/>
      <c r="R2395" s="187"/>
      <c r="S2395" s="188"/>
    </row>
    <row r="2396" spans="2:19" ht="12.75">
      <c r="B2396" s="185"/>
      <c r="C2396" s="186"/>
      <c r="D2396" s="187"/>
      <c r="E2396" s="187"/>
      <c r="F2396" s="187"/>
      <c r="G2396" s="187"/>
      <c r="H2396" s="187"/>
      <c r="I2396" s="187"/>
      <c r="J2396" s="187"/>
      <c r="K2396" s="187"/>
      <c r="L2396" s="187"/>
      <c r="M2396" s="187"/>
      <c r="N2396" s="187"/>
      <c r="O2396" s="187"/>
      <c r="P2396" s="187"/>
      <c r="Q2396" s="187"/>
      <c r="R2396" s="187"/>
      <c r="S2396" s="188"/>
    </row>
    <row r="2397" spans="2:19" ht="12.75">
      <c r="B2397" s="185"/>
      <c r="C2397" s="186"/>
      <c r="D2397" s="187"/>
      <c r="E2397" s="187"/>
      <c r="F2397" s="187"/>
      <c r="G2397" s="187"/>
      <c r="H2397" s="187"/>
      <c r="I2397" s="187"/>
      <c r="J2397" s="187"/>
      <c r="K2397" s="187"/>
      <c r="L2397" s="187"/>
      <c r="M2397" s="187"/>
      <c r="N2397" s="187"/>
      <c r="O2397" s="187"/>
      <c r="P2397" s="187"/>
      <c r="Q2397" s="187"/>
      <c r="R2397" s="187"/>
      <c r="S2397" s="188"/>
    </row>
    <row r="2398" spans="2:19" ht="12.75">
      <c r="B2398" s="185"/>
      <c r="C2398" s="186"/>
      <c r="D2398" s="187"/>
      <c r="E2398" s="187"/>
      <c r="F2398" s="187"/>
      <c r="G2398" s="187"/>
      <c r="H2398" s="187"/>
      <c r="I2398" s="187"/>
      <c r="J2398" s="187"/>
      <c r="K2398" s="187"/>
      <c r="L2398" s="187"/>
      <c r="M2398" s="187"/>
      <c r="N2398" s="187"/>
      <c r="O2398" s="187"/>
      <c r="P2398" s="187"/>
      <c r="Q2398" s="187"/>
      <c r="R2398" s="187"/>
      <c r="S2398" s="188"/>
    </row>
    <row r="2399" spans="2:19" ht="12.75">
      <c r="B2399" s="185"/>
      <c r="C2399" s="186"/>
      <c r="D2399" s="187"/>
      <c r="E2399" s="187"/>
      <c r="F2399" s="187"/>
      <c r="G2399" s="187"/>
      <c r="H2399" s="187"/>
      <c r="I2399" s="187"/>
      <c r="J2399" s="187"/>
      <c r="K2399" s="187"/>
      <c r="L2399" s="187"/>
      <c r="M2399" s="187"/>
      <c r="N2399" s="187"/>
      <c r="O2399" s="187"/>
      <c r="P2399" s="187"/>
      <c r="Q2399" s="187"/>
      <c r="R2399" s="187"/>
      <c r="S2399" s="188"/>
    </row>
    <row r="2400" spans="2:19" ht="12.75">
      <c r="B2400" s="185"/>
      <c r="C2400" s="186"/>
      <c r="D2400" s="187"/>
      <c r="E2400" s="187"/>
      <c r="F2400" s="187"/>
      <c r="G2400" s="187"/>
      <c r="H2400" s="187"/>
      <c r="I2400" s="187"/>
      <c r="J2400" s="187"/>
      <c r="K2400" s="187"/>
      <c r="L2400" s="187"/>
      <c r="M2400" s="187"/>
      <c r="N2400" s="187"/>
      <c r="O2400" s="187"/>
      <c r="P2400" s="187"/>
      <c r="Q2400" s="187"/>
      <c r="R2400" s="187"/>
      <c r="S2400" s="188"/>
    </row>
    <row r="2401" spans="2:19" ht="12.75">
      <c r="B2401" s="185"/>
      <c r="C2401" s="186"/>
      <c r="D2401" s="187"/>
      <c r="E2401" s="187"/>
      <c r="F2401" s="187"/>
      <c r="G2401" s="187"/>
      <c r="H2401" s="187"/>
      <c r="I2401" s="187"/>
      <c r="J2401" s="187"/>
      <c r="K2401" s="187"/>
      <c r="L2401" s="187"/>
      <c r="M2401" s="187"/>
      <c r="N2401" s="187"/>
      <c r="O2401" s="187"/>
      <c r="P2401" s="187"/>
      <c r="Q2401" s="187"/>
      <c r="R2401" s="187"/>
      <c r="S2401" s="188"/>
    </row>
    <row r="2402" spans="2:19" ht="12.75">
      <c r="B2402" s="185"/>
      <c r="C2402" s="186"/>
      <c r="D2402" s="187"/>
      <c r="E2402" s="187"/>
      <c r="F2402" s="187"/>
      <c r="G2402" s="187"/>
      <c r="H2402" s="187"/>
      <c r="I2402" s="187"/>
      <c r="J2402" s="187"/>
      <c r="K2402" s="187"/>
      <c r="L2402" s="187"/>
      <c r="M2402" s="187"/>
      <c r="N2402" s="187"/>
      <c r="O2402" s="187"/>
      <c r="P2402" s="187"/>
      <c r="Q2402" s="187"/>
      <c r="R2402" s="187"/>
      <c r="S2402" s="188"/>
    </row>
    <row r="2403" spans="2:19" ht="12.75">
      <c r="B2403" s="185"/>
      <c r="C2403" s="186"/>
      <c r="D2403" s="187"/>
      <c r="E2403" s="187"/>
      <c r="F2403" s="187"/>
      <c r="G2403" s="187"/>
      <c r="H2403" s="187"/>
      <c r="I2403" s="187"/>
      <c r="J2403" s="187"/>
      <c r="K2403" s="187"/>
      <c r="L2403" s="187"/>
      <c r="M2403" s="187"/>
      <c r="N2403" s="187"/>
      <c r="O2403" s="187"/>
      <c r="P2403" s="187"/>
      <c r="Q2403" s="187"/>
      <c r="R2403" s="187"/>
      <c r="S2403" s="188"/>
    </row>
    <row r="2404" spans="2:19" ht="12.75">
      <c r="B2404" s="185"/>
      <c r="C2404" s="186"/>
      <c r="D2404" s="187"/>
      <c r="E2404" s="187"/>
      <c r="F2404" s="187"/>
      <c r="G2404" s="187"/>
      <c r="H2404" s="187"/>
      <c r="I2404" s="187"/>
      <c r="J2404" s="187"/>
      <c r="K2404" s="187"/>
      <c r="L2404" s="187"/>
      <c r="M2404" s="187"/>
      <c r="N2404" s="187"/>
      <c r="O2404" s="187"/>
      <c r="P2404" s="187"/>
      <c r="Q2404" s="187"/>
      <c r="R2404" s="187"/>
      <c r="S2404" s="188"/>
    </row>
    <row r="2405" spans="2:19" ht="12.75">
      <c r="B2405" s="185"/>
      <c r="C2405" s="186"/>
      <c r="D2405" s="187"/>
      <c r="E2405" s="187"/>
      <c r="F2405" s="187"/>
      <c r="G2405" s="187"/>
      <c r="H2405" s="187"/>
      <c r="I2405" s="187"/>
      <c r="J2405" s="187"/>
      <c r="K2405" s="187"/>
      <c r="L2405" s="187"/>
      <c r="M2405" s="187"/>
      <c r="N2405" s="187"/>
      <c r="O2405" s="187"/>
      <c r="P2405" s="187"/>
      <c r="Q2405" s="187"/>
      <c r="R2405" s="187"/>
      <c r="S2405" s="188"/>
    </row>
    <row r="2406" spans="2:19" ht="12.75">
      <c r="B2406" s="185"/>
      <c r="C2406" s="186"/>
      <c r="D2406" s="187"/>
      <c r="E2406" s="187"/>
      <c r="F2406" s="187"/>
      <c r="G2406" s="187"/>
      <c r="H2406" s="187"/>
      <c r="I2406" s="187"/>
      <c r="J2406" s="187"/>
      <c r="K2406" s="187"/>
      <c r="L2406" s="187"/>
      <c r="M2406" s="187"/>
      <c r="N2406" s="187"/>
      <c r="O2406" s="187"/>
      <c r="P2406" s="187"/>
      <c r="Q2406" s="187"/>
      <c r="R2406" s="187"/>
      <c r="S2406" s="188"/>
    </row>
    <row r="2407" spans="2:19" ht="12.75">
      <c r="B2407" s="185"/>
      <c r="C2407" s="186"/>
      <c r="D2407" s="187"/>
      <c r="E2407" s="187"/>
      <c r="F2407" s="187"/>
      <c r="G2407" s="187"/>
      <c r="H2407" s="187"/>
      <c r="I2407" s="187"/>
      <c r="J2407" s="187"/>
      <c r="K2407" s="187"/>
      <c r="L2407" s="187"/>
      <c r="M2407" s="187"/>
      <c r="N2407" s="187"/>
      <c r="O2407" s="187"/>
      <c r="P2407" s="187"/>
      <c r="Q2407" s="187"/>
      <c r="R2407" s="187"/>
      <c r="S2407" s="188"/>
    </row>
    <row r="2408" spans="2:19" ht="12.75">
      <c r="B2408" s="185"/>
      <c r="C2408" s="186"/>
      <c r="D2408" s="187"/>
      <c r="E2408" s="187"/>
      <c r="F2408" s="187"/>
      <c r="G2408" s="187"/>
      <c r="H2408" s="187"/>
      <c r="I2408" s="187"/>
      <c r="J2408" s="187"/>
      <c r="K2408" s="187"/>
      <c r="L2408" s="187"/>
      <c r="M2408" s="187"/>
      <c r="N2408" s="187"/>
      <c r="O2408" s="187"/>
      <c r="P2408" s="187"/>
      <c r="Q2408" s="187"/>
      <c r="R2408" s="187"/>
      <c r="S2408" s="188"/>
    </row>
    <row r="2409" spans="2:19" ht="12.75">
      <c r="B2409" s="185"/>
      <c r="C2409" s="186"/>
      <c r="D2409" s="187"/>
      <c r="E2409" s="187"/>
      <c r="F2409" s="187"/>
      <c r="G2409" s="187"/>
      <c r="H2409" s="187"/>
      <c r="I2409" s="187"/>
      <c r="J2409" s="187"/>
      <c r="K2409" s="187"/>
      <c r="L2409" s="187"/>
      <c r="M2409" s="187"/>
      <c r="N2409" s="187"/>
      <c r="O2409" s="187"/>
      <c r="P2409" s="187"/>
      <c r="Q2409" s="187"/>
      <c r="R2409" s="187"/>
      <c r="S2409" s="188"/>
    </row>
    <row r="2410" spans="2:19" ht="12.75">
      <c r="B2410" s="185"/>
      <c r="C2410" s="186"/>
      <c r="D2410" s="187"/>
      <c r="E2410" s="187"/>
      <c r="F2410" s="187"/>
      <c r="G2410" s="187"/>
      <c r="H2410" s="187"/>
      <c r="I2410" s="187"/>
      <c r="J2410" s="187"/>
      <c r="K2410" s="187"/>
      <c r="L2410" s="187"/>
      <c r="M2410" s="187"/>
      <c r="N2410" s="187"/>
      <c r="O2410" s="187"/>
      <c r="P2410" s="187"/>
      <c r="Q2410" s="187"/>
      <c r="R2410" s="187"/>
      <c r="S2410" s="188"/>
    </row>
    <row r="2411" spans="2:19" ht="12.75">
      <c r="B2411" s="185"/>
      <c r="C2411" s="186"/>
      <c r="D2411" s="187"/>
      <c r="E2411" s="187"/>
      <c r="F2411" s="187"/>
      <c r="G2411" s="187"/>
      <c r="H2411" s="187"/>
      <c r="I2411" s="187"/>
      <c r="J2411" s="187"/>
      <c r="K2411" s="187"/>
      <c r="L2411" s="187"/>
      <c r="M2411" s="187"/>
      <c r="N2411" s="187"/>
      <c r="O2411" s="187"/>
      <c r="P2411" s="187"/>
      <c r="Q2411" s="187"/>
      <c r="R2411" s="187"/>
      <c r="S2411" s="188"/>
    </row>
    <row r="2412" spans="2:19" ht="12.75">
      <c r="B2412" s="185"/>
      <c r="C2412" s="186"/>
      <c r="D2412" s="187"/>
      <c r="E2412" s="187"/>
      <c r="F2412" s="187"/>
      <c r="G2412" s="187"/>
      <c r="H2412" s="187"/>
      <c r="I2412" s="187"/>
      <c r="J2412" s="187"/>
      <c r="K2412" s="187"/>
      <c r="L2412" s="187"/>
      <c r="M2412" s="187"/>
      <c r="N2412" s="187"/>
      <c r="O2412" s="187"/>
      <c r="P2412" s="187"/>
      <c r="Q2412" s="187"/>
      <c r="R2412" s="187"/>
      <c r="S2412" s="188"/>
    </row>
    <row r="2413" spans="2:19" ht="12.75">
      <c r="B2413" s="185"/>
      <c r="C2413" s="186"/>
      <c r="D2413" s="187"/>
      <c r="E2413" s="187"/>
      <c r="F2413" s="187"/>
      <c r="G2413" s="187"/>
      <c r="H2413" s="187"/>
      <c r="I2413" s="187"/>
      <c r="J2413" s="187"/>
      <c r="K2413" s="187"/>
      <c r="L2413" s="187"/>
      <c r="M2413" s="187"/>
      <c r="N2413" s="187"/>
      <c r="O2413" s="187"/>
      <c r="P2413" s="187"/>
      <c r="Q2413" s="187"/>
      <c r="R2413" s="187"/>
      <c r="S2413" s="188"/>
    </row>
    <row r="2414" spans="2:19" ht="12.75">
      <c r="B2414" s="185"/>
      <c r="C2414" s="186"/>
      <c r="D2414" s="187"/>
      <c r="E2414" s="187"/>
      <c r="F2414" s="187"/>
      <c r="G2414" s="187"/>
      <c r="H2414" s="187"/>
      <c r="I2414" s="187"/>
      <c r="J2414" s="187"/>
      <c r="K2414" s="187"/>
      <c r="L2414" s="187"/>
      <c r="M2414" s="187"/>
      <c r="N2414" s="187"/>
      <c r="O2414" s="187"/>
      <c r="P2414" s="187"/>
      <c r="Q2414" s="187"/>
      <c r="R2414" s="187"/>
      <c r="S2414" s="188"/>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pageSetUpPr fitToPage="1"/>
  </sheetPr>
  <dimension ref="A1:O124"/>
  <sheetViews>
    <sheetView zoomScale="75" zoomScaleNormal="75" workbookViewId="0" topLeftCell="A1">
      <pane xSplit="1" ySplit="5" topLeftCell="B6" activePane="bottomRight" state="frozen"/>
      <selection pane="topLeft" activeCell="A1" sqref="A1"/>
      <selection pane="topRight" activeCell="B1" sqref="B1"/>
      <selection pane="bottomLeft" activeCell="A7" sqref="A7"/>
      <selection pane="bottomRight" activeCell="C35" sqref="C35"/>
    </sheetView>
  </sheetViews>
  <sheetFormatPr defaultColWidth="9.140625" defaultRowHeight="12.75"/>
  <cols>
    <col min="1" max="1" width="28.28125" style="139" customWidth="1"/>
    <col min="2" max="2" width="19.140625" style="139" customWidth="1"/>
    <col min="3" max="3" width="16.7109375" style="139" customWidth="1"/>
    <col min="4" max="7" width="8.28125" style="139" customWidth="1"/>
    <col min="8" max="8" width="8.421875" style="139" customWidth="1"/>
    <col min="9" max="9" width="9.57421875" style="139" customWidth="1"/>
    <col min="10" max="10" width="18.421875" style="139" customWidth="1"/>
    <col min="11" max="12" width="17.421875" style="139" customWidth="1"/>
    <col min="13" max="13" width="7.8515625" style="139" customWidth="1"/>
    <col min="14" max="14" width="14.7109375" style="139" customWidth="1"/>
    <col min="15" max="15" width="14.421875" style="139" customWidth="1"/>
    <col min="16" max="16384" width="9.140625" style="139" customWidth="1"/>
  </cols>
  <sheetData>
    <row r="1" spans="1:15" ht="22.5">
      <c r="A1" s="258" t="s">
        <v>326</v>
      </c>
      <c r="B1" s="257" t="s">
        <v>327</v>
      </c>
      <c r="C1" s="543" t="s">
        <v>328</v>
      </c>
      <c r="D1" s="544"/>
      <c r="E1" s="545"/>
      <c r="F1" s="211"/>
      <c r="G1" s="140" t="s">
        <v>329</v>
      </c>
      <c r="H1" s="138"/>
      <c r="I1" s="138"/>
      <c r="J1" s="138"/>
      <c r="M1" s="113"/>
      <c r="N1" s="113"/>
      <c r="O1" s="113"/>
    </row>
    <row r="2" spans="1:15" ht="33.75">
      <c r="A2" s="258" t="s">
        <v>330</v>
      </c>
      <c r="B2" s="257" t="s">
        <v>331</v>
      </c>
      <c r="E2" s="211"/>
      <c r="F2" s="211"/>
      <c r="G2" s="141" t="s">
        <v>332</v>
      </c>
      <c r="H2" s="142"/>
      <c r="I2" s="142"/>
      <c r="J2" s="142"/>
      <c r="M2" s="113"/>
      <c r="N2" s="113"/>
      <c r="O2" s="113"/>
    </row>
    <row r="3" spans="1:15" ht="12.75" customHeight="1">
      <c r="A3" s="143"/>
      <c r="B3" s="113"/>
      <c r="E3" s="211"/>
      <c r="F3" s="211"/>
      <c r="G3" s="144" t="s">
        <v>333</v>
      </c>
      <c r="H3" s="145"/>
      <c r="I3" s="145"/>
      <c r="J3" s="145"/>
      <c r="M3" s="113"/>
      <c r="N3" s="113"/>
      <c r="O3" s="113"/>
    </row>
    <row r="4" spans="1:15" ht="24" customHeight="1">
      <c r="A4" s="146" t="s">
        <v>334</v>
      </c>
      <c r="B4" s="551" t="s">
        <v>335</v>
      </c>
      <c r="C4" s="552"/>
      <c r="D4" s="551" t="s">
        <v>336</v>
      </c>
      <c r="E4" s="553"/>
      <c r="F4" s="553"/>
      <c r="G4" s="554"/>
      <c r="H4" s="490" t="s">
        <v>337</v>
      </c>
      <c r="I4" s="491"/>
      <c r="J4" s="95" t="s">
        <v>338</v>
      </c>
      <c r="K4" s="448" t="s">
        <v>339</v>
      </c>
      <c r="L4" s="520" t="s">
        <v>340</v>
      </c>
      <c r="M4" s="514" t="s">
        <v>341</v>
      </c>
      <c r="N4" s="515"/>
      <c r="O4" s="221"/>
    </row>
    <row r="5" spans="1:15" ht="15" customHeight="1">
      <c r="A5" s="146"/>
      <c r="B5" s="147" t="s">
        <v>342</v>
      </c>
      <c r="C5" s="148" t="s">
        <v>343</v>
      </c>
      <c r="D5" s="147" t="s">
        <v>6</v>
      </c>
      <c r="E5" s="147" t="s">
        <v>7</v>
      </c>
      <c r="F5" s="147" t="s">
        <v>8</v>
      </c>
      <c r="G5" s="147" t="s">
        <v>9</v>
      </c>
      <c r="H5" s="147" t="s">
        <v>342</v>
      </c>
      <c r="I5" s="147" t="s">
        <v>343</v>
      </c>
      <c r="J5" s="149"/>
      <c r="K5" s="220"/>
      <c r="L5" s="489"/>
      <c r="M5" s="516"/>
      <c r="N5" s="517"/>
      <c r="O5" s="70"/>
    </row>
    <row r="6" spans="1:15" s="113" customFormat="1" ht="11.25" customHeight="1">
      <c r="A6" s="449" t="s">
        <v>344</v>
      </c>
      <c r="B6" s="215" t="s">
        <v>345</v>
      </c>
      <c r="C6" s="151"/>
      <c r="D6" s="503" t="s">
        <v>346</v>
      </c>
      <c r="E6" s="504"/>
      <c r="F6" s="504"/>
      <c r="G6" s="505"/>
      <c r="H6" s="152"/>
      <c r="I6" s="70"/>
      <c r="J6" s="153"/>
      <c r="K6" s="154"/>
      <c r="L6" s="154"/>
      <c r="M6" s="225" t="s">
        <v>347</v>
      </c>
      <c r="N6" s="76" t="s">
        <v>348</v>
      </c>
      <c r="O6" s="71"/>
    </row>
    <row r="7" spans="1:15" s="113" customFormat="1" ht="11.25">
      <c r="A7" s="449" t="s">
        <v>349</v>
      </c>
      <c r="B7" s="215" t="s">
        <v>350</v>
      </c>
      <c r="C7" s="151"/>
      <c r="D7" s="213"/>
      <c r="E7" s="97"/>
      <c r="F7" s="97"/>
      <c r="G7" s="214"/>
      <c r="H7" s="152"/>
      <c r="I7" s="70"/>
      <c r="J7" s="153"/>
      <c r="K7" s="154"/>
      <c r="L7" s="154"/>
      <c r="M7" s="224">
        <v>1980</v>
      </c>
      <c r="N7" s="512" t="s">
        <v>351</v>
      </c>
      <c r="O7" s="71"/>
    </row>
    <row r="8" spans="1:15" s="113" customFormat="1" ht="11.25">
      <c r="A8" s="150"/>
      <c r="B8" s="212"/>
      <c r="C8" s="151"/>
      <c r="D8" s="213"/>
      <c r="E8" s="97"/>
      <c r="F8" s="97"/>
      <c r="G8" s="214"/>
      <c r="H8" s="152"/>
      <c r="I8" s="70"/>
      <c r="J8" s="153"/>
      <c r="K8" s="154"/>
      <c r="L8" s="154"/>
      <c r="M8" s="224">
        <f>1+M7</f>
        <v>1981</v>
      </c>
      <c r="N8" s="512"/>
      <c r="O8" s="71"/>
    </row>
    <row r="9" spans="1:15" s="113" customFormat="1" ht="12">
      <c r="A9" s="90" t="s">
        <v>352</v>
      </c>
      <c r="B9" s="152"/>
      <c r="C9" s="70"/>
      <c r="D9" s="154"/>
      <c r="E9" s="71"/>
      <c r="F9" s="71"/>
      <c r="G9" s="155"/>
      <c r="H9" s="152"/>
      <c r="I9" s="70"/>
      <c r="J9" s="153"/>
      <c r="K9" s="154"/>
      <c r="L9" s="154"/>
      <c r="M9" s="224">
        <f>1+M8</f>
        <v>1982</v>
      </c>
      <c r="N9" s="512"/>
      <c r="O9" s="71"/>
    </row>
    <row r="10" spans="1:15" ht="15.75" customHeight="1">
      <c r="A10" s="548" t="s">
        <v>353</v>
      </c>
      <c r="B10" s="550" t="s">
        <v>354</v>
      </c>
      <c r="C10" s="550"/>
      <c r="D10" s="526" t="s">
        <v>355</v>
      </c>
      <c r="E10" s="526"/>
      <c r="F10" s="526"/>
      <c r="G10" s="526"/>
      <c r="H10" s="529" t="s">
        <v>356</v>
      </c>
      <c r="I10" s="530"/>
      <c r="J10" s="528" t="s">
        <v>357</v>
      </c>
      <c r="K10" s="518" t="s">
        <v>358</v>
      </c>
      <c r="L10" s="523" t="s">
        <v>359</v>
      </c>
      <c r="M10" s="224">
        <f>1+M9</f>
        <v>1983</v>
      </c>
      <c r="N10" s="512"/>
      <c r="O10" s="219"/>
    </row>
    <row r="11" spans="1:15" ht="15.75" customHeight="1">
      <c r="A11" s="548"/>
      <c r="B11" s="550"/>
      <c r="C11" s="550"/>
      <c r="D11" s="526"/>
      <c r="E11" s="526"/>
      <c r="F11" s="526"/>
      <c r="G11" s="526"/>
      <c r="H11" s="531"/>
      <c r="I11" s="532"/>
      <c r="J11" s="528"/>
      <c r="K11" s="518"/>
      <c r="L11" s="524"/>
      <c r="M11" s="224">
        <f aca="true" t="shared" si="0" ref="M11:M58">1+M10</f>
        <v>1984</v>
      </c>
      <c r="N11" s="512"/>
      <c r="O11" s="219"/>
    </row>
    <row r="12" spans="1:15" ht="15.75" customHeight="1">
      <c r="A12" s="548"/>
      <c r="B12" s="550"/>
      <c r="C12" s="550"/>
      <c r="D12" s="526"/>
      <c r="E12" s="526"/>
      <c r="F12" s="526"/>
      <c r="G12" s="526"/>
      <c r="H12" s="531"/>
      <c r="I12" s="532"/>
      <c r="J12" s="528"/>
      <c r="K12" s="518"/>
      <c r="L12" s="524"/>
      <c r="M12" s="224">
        <f t="shared" si="0"/>
        <v>1985</v>
      </c>
      <c r="N12" s="512"/>
      <c r="O12" s="219"/>
    </row>
    <row r="13" spans="1:15" ht="15.75" customHeight="1">
      <c r="A13" s="548"/>
      <c r="B13" s="550"/>
      <c r="C13" s="550"/>
      <c r="D13" s="526"/>
      <c r="E13" s="526"/>
      <c r="F13" s="526"/>
      <c r="G13" s="526"/>
      <c r="H13" s="531"/>
      <c r="I13" s="532"/>
      <c r="J13" s="528"/>
      <c r="K13" s="518"/>
      <c r="L13" s="524"/>
      <c r="M13" s="224">
        <f t="shared" si="0"/>
        <v>1986</v>
      </c>
      <c r="N13" s="512"/>
      <c r="O13" s="219"/>
    </row>
    <row r="14" spans="1:15" ht="15.75" customHeight="1">
      <c r="A14" s="548"/>
      <c r="B14" s="550"/>
      <c r="C14" s="550"/>
      <c r="D14" s="526"/>
      <c r="E14" s="526"/>
      <c r="F14" s="526"/>
      <c r="G14" s="526"/>
      <c r="H14" s="531"/>
      <c r="I14" s="532"/>
      <c r="J14" s="528"/>
      <c r="K14" s="518"/>
      <c r="L14" s="524"/>
      <c r="M14" s="224">
        <f t="shared" si="0"/>
        <v>1987</v>
      </c>
      <c r="N14" s="512"/>
      <c r="O14" s="219"/>
    </row>
    <row r="15" spans="1:15" ht="14.25" customHeight="1">
      <c r="A15" s="548"/>
      <c r="B15" s="550"/>
      <c r="C15" s="550"/>
      <c r="D15" s="526"/>
      <c r="E15" s="526"/>
      <c r="F15" s="526"/>
      <c r="G15" s="526"/>
      <c r="H15" s="531"/>
      <c r="I15" s="532"/>
      <c r="J15" s="528"/>
      <c r="K15" s="518"/>
      <c r="L15" s="524"/>
      <c r="M15" s="224">
        <f t="shared" si="0"/>
        <v>1988</v>
      </c>
      <c r="N15" s="512"/>
      <c r="O15" s="86"/>
    </row>
    <row r="16" spans="1:15" ht="14.25" customHeight="1">
      <c r="A16" s="548"/>
      <c r="B16" s="550"/>
      <c r="C16" s="550"/>
      <c r="D16" s="526"/>
      <c r="E16" s="526"/>
      <c r="F16" s="526"/>
      <c r="G16" s="526"/>
      <c r="H16" s="531"/>
      <c r="I16" s="532"/>
      <c r="J16" s="528"/>
      <c r="K16" s="518"/>
      <c r="L16" s="524"/>
      <c r="M16" s="224">
        <f t="shared" si="0"/>
        <v>1989</v>
      </c>
      <c r="N16" s="512"/>
      <c r="O16" s="86"/>
    </row>
    <row r="17" spans="1:15" ht="14.25" customHeight="1">
      <c r="A17" s="549"/>
      <c r="B17" s="550"/>
      <c r="C17" s="550"/>
      <c r="D17" s="526"/>
      <c r="E17" s="526"/>
      <c r="F17" s="526"/>
      <c r="G17" s="526"/>
      <c r="H17" s="533"/>
      <c r="I17" s="534"/>
      <c r="J17" s="528"/>
      <c r="K17" s="518"/>
      <c r="L17" s="525"/>
      <c r="M17" s="224">
        <f t="shared" si="0"/>
        <v>1990</v>
      </c>
      <c r="N17" s="512"/>
      <c r="O17" s="86"/>
    </row>
    <row r="18" spans="1:15" s="113" customFormat="1" ht="14.25" customHeight="1">
      <c r="A18" s="207"/>
      <c r="B18" s="208"/>
      <c r="C18" s="208"/>
      <c r="I18" s="209"/>
      <c r="J18" s="97"/>
      <c r="K18" s="210"/>
      <c r="L18" s="210"/>
      <c r="M18" s="224">
        <f t="shared" si="0"/>
        <v>1991</v>
      </c>
      <c r="N18" s="512"/>
      <c r="O18" s="86"/>
    </row>
    <row r="19" spans="1:15" s="113" customFormat="1" ht="14.25" customHeight="1">
      <c r="A19" s="90" t="s">
        <v>360</v>
      </c>
      <c r="B19" s="208"/>
      <c r="C19" s="208"/>
      <c r="D19" s="506" t="s">
        <v>361</v>
      </c>
      <c r="E19" s="507"/>
      <c r="F19" s="510" t="s">
        <v>362</v>
      </c>
      <c r="G19" s="162" t="s">
        <v>67</v>
      </c>
      <c r="H19" s="161" t="s">
        <v>363</v>
      </c>
      <c r="I19" s="209"/>
      <c r="J19" s="97"/>
      <c r="K19" s="210"/>
      <c r="L19" s="210"/>
      <c r="M19" s="224">
        <f t="shared" si="0"/>
        <v>1992</v>
      </c>
      <c r="N19" s="512"/>
      <c r="O19" s="86"/>
    </row>
    <row r="20" spans="1:15" s="113" customFormat="1" ht="14.25" customHeight="1">
      <c r="A20" s="90"/>
      <c r="B20" s="208"/>
      <c r="C20" s="208"/>
      <c r="D20" s="508"/>
      <c r="E20" s="509"/>
      <c r="F20" s="511"/>
      <c r="G20" s="162"/>
      <c r="H20" s="161" t="s">
        <v>364</v>
      </c>
      <c r="I20" s="209"/>
      <c r="J20" s="97"/>
      <c r="K20" s="210"/>
      <c r="L20" s="210"/>
      <c r="M20" s="224">
        <f t="shared" si="0"/>
        <v>1993</v>
      </c>
      <c r="N20" s="512"/>
      <c r="O20" s="86"/>
    </row>
    <row r="21" spans="1:15" ht="14.25" customHeight="1">
      <c r="A21" s="196" t="s">
        <v>365</v>
      </c>
      <c r="M21" s="224">
        <f t="shared" si="0"/>
        <v>1994</v>
      </c>
      <c r="N21" s="512"/>
      <c r="O21" s="86"/>
    </row>
    <row r="22" spans="1:15" ht="14.25" customHeight="1">
      <c r="A22" s="444" t="s">
        <v>366</v>
      </c>
      <c r="B22" s="528" t="s">
        <v>367</v>
      </c>
      <c r="C22" s="528"/>
      <c r="D22" s="528" t="s">
        <v>368</v>
      </c>
      <c r="E22" s="528"/>
      <c r="F22" s="528"/>
      <c r="G22" s="528"/>
      <c r="H22" s="535" t="s">
        <v>368</v>
      </c>
      <c r="I22" s="536"/>
      <c r="J22" s="528" t="s">
        <v>368</v>
      </c>
      <c r="K22" s="519" t="s">
        <v>368</v>
      </c>
      <c r="L22" s="488" t="s">
        <v>368</v>
      </c>
      <c r="M22" s="224">
        <f t="shared" si="0"/>
        <v>1995</v>
      </c>
      <c r="N22" s="226"/>
      <c r="O22" s="86"/>
    </row>
    <row r="23" spans="1:15" ht="14.25" customHeight="1">
      <c r="A23" s="444" t="s">
        <v>369</v>
      </c>
      <c r="B23" s="528"/>
      <c r="C23" s="528"/>
      <c r="D23" s="528"/>
      <c r="E23" s="528"/>
      <c r="F23" s="528"/>
      <c r="G23" s="528"/>
      <c r="H23" s="503"/>
      <c r="I23" s="505"/>
      <c r="J23" s="528"/>
      <c r="K23" s="519"/>
      <c r="L23" s="521"/>
      <c r="M23" s="224">
        <f t="shared" si="0"/>
        <v>1996</v>
      </c>
      <c r="N23" s="226"/>
      <c r="O23" s="86"/>
    </row>
    <row r="24" spans="1:15" ht="14.25" customHeight="1">
      <c r="A24" s="444" t="s">
        <v>311</v>
      </c>
      <c r="B24" s="528"/>
      <c r="C24" s="528"/>
      <c r="D24" s="528"/>
      <c r="E24" s="528"/>
      <c r="F24" s="528"/>
      <c r="G24" s="528"/>
      <c r="H24" s="503"/>
      <c r="I24" s="505"/>
      <c r="J24" s="528"/>
      <c r="K24" s="519"/>
      <c r="L24" s="521"/>
      <c r="M24" s="224">
        <f t="shared" si="0"/>
        <v>1997</v>
      </c>
      <c r="N24" s="226"/>
      <c r="O24" s="86"/>
    </row>
    <row r="25" spans="1:15" ht="14.25" customHeight="1">
      <c r="A25" s="444" t="s">
        <v>370</v>
      </c>
      <c r="B25" s="528"/>
      <c r="C25" s="528"/>
      <c r="D25" s="528"/>
      <c r="E25" s="528"/>
      <c r="F25" s="528"/>
      <c r="G25" s="528"/>
      <c r="H25" s="503"/>
      <c r="I25" s="505"/>
      <c r="J25" s="528"/>
      <c r="K25" s="519"/>
      <c r="L25" s="521"/>
      <c r="M25" s="224">
        <f t="shared" si="0"/>
        <v>1998</v>
      </c>
      <c r="N25" s="226"/>
      <c r="O25" s="86"/>
    </row>
    <row r="26" spans="1:15" ht="14.25" customHeight="1">
      <c r="A26" s="450"/>
      <c r="B26" s="528"/>
      <c r="C26" s="528"/>
      <c r="D26" s="528"/>
      <c r="E26" s="528"/>
      <c r="F26" s="528"/>
      <c r="G26" s="528"/>
      <c r="H26" s="537"/>
      <c r="I26" s="538"/>
      <c r="J26" s="528"/>
      <c r="K26" s="519"/>
      <c r="L26" s="522"/>
      <c r="M26" s="224">
        <f t="shared" si="0"/>
        <v>1999</v>
      </c>
      <c r="N26" s="226"/>
      <c r="O26" s="86"/>
    </row>
    <row r="27" spans="1:14" s="113" customFormat="1" ht="14.25" customHeight="1">
      <c r="A27" s="86"/>
      <c r="B27" s="88"/>
      <c r="C27" s="88"/>
      <c r="M27" s="224">
        <f t="shared" si="0"/>
        <v>2000</v>
      </c>
      <c r="N27" s="226"/>
    </row>
    <row r="28" spans="1:14" s="113" customFormat="1" ht="14.25" customHeight="1">
      <c r="A28" s="196" t="s">
        <v>370</v>
      </c>
      <c r="B28" s="218"/>
      <c r="C28" s="97"/>
      <c r="D28" s="97"/>
      <c r="E28" s="97"/>
      <c r="F28" s="97"/>
      <c r="G28" s="97"/>
      <c r="H28" s="97"/>
      <c r="I28" s="97"/>
      <c r="J28" s="97"/>
      <c r="K28" s="97"/>
      <c r="L28" s="97"/>
      <c r="M28" s="224">
        <f t="shared" si="0"/>
        <v>2001</v>
      </c>
      <c r="N28" s="226"/>
    </row>
    <row r="29" spans="1:14" s="113" customFormat="1" ht="14.25" customHeight="1">
      <c r="A29" s="451" t="s">
        <v>371</v>
      </c>
      <c r="B29" s="496" t="s">
        <v>372</v>
      </c>
      <c r="C29" s="497"/>
      <c r="D29" s="526" t="s">
        <v>373</v>
      </c>
      <c r="E29" s="526"/>
      <c r="F29" s="526"/>
      <c r="G29" s="526"/>
      <c r="H29" s="492" t="s">
        <v>373</v>
      </c>
      <c r="I29" s="493"/>
      <c r="J29" s="527" t="s">
        <v>373</v>
      </c>
      <c r="K29" s="513" t="s">
        <v>373</v>
      </c>
      <c r="L29" s="412"/>
      <c r="M29" s="452">
        <f t="shared" si="0"/>
        <v>2002</v>
      </c>
      <c r="N29" s="231"/>
    </row>
    <row r="30" spans="1:14" s="113" customFormat="1" ht="14.25" customHeight="1">
      <c r="A30" s="453" t="s">
        <v>374</v>
      </c>
      <c r="B30" s="498"/>
      <c r="C30" s="499"/>
      <c r="D30" s="526"/>
      <c r="E30" s="526"/>
      <c r="F30" s="526"/>
      <c r="G30" s="526"/>
      <c r="H30" s="494"/>
      <c r="I30" s="495"/>
      <c r="J30" s="527"/>
      <c r="K30" s="513"/>
      <c r="L30" s="412"/>
      <c r="M30" s="411">
        <f t="shared" si="0"/>
        <v>2003</v>
      </c>
      <c r="N30" s="227"/>
    </row>
    <row r="31" spans="1:14" s="113" customFormat="1" ht="14.25" customHeight="1">
      <c r="A31" s="216"/>
      <c r="B31" s="217"/>
      <c r="C31" s="97"/>
      <c r="D31" s="97"/>
      <c r="E31" s="97"/>
      <c r="G31" s="97"/>
      <c r="H31" s="97"/>
      <c r="I31" s="97"/>
      <c r="J31" s="97"/>
      <c r="K31" s="97"/>
      <c r="L31" s="97"/>
      <c r="M31" s="224">
        <f t="shared" si="0"/>
        <v>2004</v>
      </c>
      <c r="N31" s="227"/>
    </row>
    <row r="32" spans="1:14" s="86" customFormat="1" ht="12" customHeight="1">
      <c r="A32" s="546" t="s">
        <v>375</v>
      </c>
      <c r="B32" s="254" t="s">
        <v>376</v>
      </c>
      <c r="C32" s="97"/>
      <c r="D32" s="97"/>
      <c r="E32" s="97"/>
      <c r="F32" s="97"/>
      <c r="G32" s="97"/>
      <c r="H32" s="97"/>
      <c r="I32" s="97"/>
      <c r="J32" s="97"/>
      <c r="K32" s="97"/>
      <c r="L32" s="97"/>
      <c r="M32" s="224">
        <f t="shared" si="0"/>
        <v>2005</v>
      </c>
      <c r="N32" s="228"/>
    </row>
    <row r="33" spans="1:14" s="69" customFormat="1" ht="19.5" customHeight="1">
      <c r="A33" s="547"/>
      <c r="B33" s="255"/>
      <c r="C33" s="86"/>
      <c r="D33" s="86"/>
      <c r="E33" s="86"/>
      <c r="F33" s="156"/>
      <c r="G33" s="157"/>
      <c r="H33" s="157"/>
      <c r="M33" s="224">
        <f t="shared" si="0"/>
        <v>2006</v>
      </c>
      <c r="N33" s="228"/>
    </row>
    <row r="34" spans="1:14" ht="12" thickBot="1">
      <c r="A34" s="158" t="s">
        <v>377</v>
      </c>
      <c r="B34" s="256"/>
      <c r="C34" s="86"/>
      <c r="D34" s="86"/>
      <c r="E34" s="86"/>
      <c r="F34" s="86"/>
      <c r="G34" s="86"/>
      <c r="H34" s="86"/>
      <c r="I34" s="69"/>
      <c r="J34" s="69"/>
      <c r="M34" s="224">
        <f t="shared" si="0"/>
        <v>2007</v>
      </c>
      <c r="N34" s="228"/>
    </row>
    <row r="35" spans="1:14" ht="11.25">
      <c r="A35" s="83" t="s">
        <v>76</v>
      </c>
      <c r="B35" s="232"/>
      <c r="C35" s="69"/>
      <c r="D35" s="236"/>
      <c r="E35" s="237"/>
      <c r="F35" s="237"/>
      <c r="G35" s="237"/>
      <c r="H35" s="237"/>
      <c r="I35" s="237"/>
      <c r="J35" s="238"/>
      <c r="M35" s="224">
        <f t="shared" si="0"/>
        <v>2008</v>
      </c>
      <c r="N35" s="228"/>
    </row>
    <row r="36" spans="1:14" ht="11.25">
      <c r="A36" s="85" t="s">
        <v>106</v>
      </c>
      <c r="B36" s="232"/>
      <c r="C36" s="74"/>
      <c r="D36" s="239"/>
      <c r="E36" s="240"/>
      <c r="F36" s="241"/>
      <c r="G36" s="241"/>
      <c r="H36" s="241"/>
      <c r="I36" s="241"/>
      <c r="J36" s="242"/>
      <c r="M36" s="224">
        <f t="shared" si="0"/>
        <v>2009</v>
      </c>
      <c r="N36" s="228"/>
    </row>
    <row r="37" spans="1:14" ht="11.25">
      <c r="A37" s="85" t="s">
        <v>107</v>
      </c>
      <c r="B37" s="233" t="s">
        <v>378</v>
      </c>
      <c r="C37" s="69"/>
      <c r="D37" s="243"/>
      <c r="E37" s="241"/>
      <c r="F37" s="241"/>
      <c r="G37" s="241"/>
      <c r="H37" s="241"/>
      <c r="I37" s="241"/>
      <c r="J37" s="242"/>
      <c r="M37" s="224">
        <f t="shared" si="0"/>
        <v>2010</v>
      </c>
      <c r="N37" s="228"/>
    </row>
    <row r="38" spans="1:14" ht="11.25">
      <c r="A38" s="85" t="s">
        <v>108</v>
      </c>
      <c r="B38" s="454">
        <v>1000</v>
      </c>
      <c r="C38" s="75"/>
      <c r="D38" s="244"/>
      <c r="E38" s="245" t="s">
        <v>379</v>
      </c>
      <c r="F38" s="241"/>
      <c r="G38" s="241"/>
      <c r="H38" s="241"/>
      <c r="I38" s="241"/>
      <c r="J38" s="242"/>
      <c r="M38" s="224">
        <f t="shared" si="0"/>
        <v>2011</v>
      </c>
      <c r="N38" s="228"/>
    </row>
    <row r="39" spans="1:14" ht="11.25">
      <c r="A39" s="84" t="s">
        <v>1</v>
      </c>
      <c r="B39" s="234"/>
      <c r="C39" s="69"/>
      <c r="D39" s="243"/>
      <c r="E39" s="241"/>
      <c r="F39" s="241"/>
      <c r="G39" s="241"/>
      <c r="H39" s="241"/>
      <c r="I39" s="241"/>
      <c r="J39" s="242"/>
      <c r="M39" s="224">
        <f t="shared" si="0"/>
        <v>2012</v>
      </c>
      <c r="N39" s="228"/>
    </row>
    <row r="40" spans="1:14" ht="13.5" customHeight="1">
      <c r="A40" s="455" t="s">
        <v>380</v>
      </c>
      <c r="B40" s="256"/>
      <c r="C40" s="69"/>
      <c r="D40" s="243"/>
      <c r="E40" s="241"/>
      <c r="F40" s="241"/>
      <c r="G40" s="241"/>
      <c r="H40" s="241"/>
      <c r="I40" s="241"/>
      <c r="J40" s="242"/>
      <c r="M40" s="224">
        <f t="shared" si="0"/>
        <v>2013</v>
      </c>
      <c r="N40" s="228"/>
    </row>
    <row r="41" spans="1:14" ht="11.25">
      <c r="A41" s="456" t="s">
        <v>381</v>
      </c>
      <c r="B41" s="500" t="s">
        <v>382</v>
      </c>
      <c r="C41" s="69"/>
      <c r="D41" s="243"/>
      <c r="E41" s="241"/>
      <c r="F41" s="241"/>
      <c r="G41" s="241"/>
      <c r="H41" s="241"/>
      <c r="I41" s="241"/>
      <c r="J41" s="242"/>
      <c r="M41" s="224">
        <f t="shared" si="0"/>
        <v>2014</v>
      </c>
      <c r="N41" s="228"/>
    </row>
    <row r="42" spans="1:14" ht="11.25">
      <c r="A42" s="443" t="s">
        <v>383</v>
      </c>
      <c r="B42" s="501"/>
      <c r="C42" s="235"/>
      <c r="D42" s="246"/>
      <c r="E42" s="247"/>
      <c r="F42" s="248"/>
      <c r="G42" s="247"/>
      <c r="H42" s="247"/>
      <c r="I42" s="241"/>
      <c r="J42" s="242"/>
      <c r="M42" s="224">
        <f t="shared" si="0"/>
        <v>2015</v>
      </c>
      <c r="N42" s="228"/>
    </row>
    <row r="43" spans="1:14" ht="11.25">
      <c r="A43" s="443" t="s">
        <v>384</v>
      </c>
      <c r="B43" s="501"/>
      <c r="C43" s="69"/>
      <c r="D43" s="243"/>
      <c r="E43" s="241"/>
      <c r="F43" s="248"/>
      <c r="G43" s="241"/>
      <c r="H43" s="241"/>
      <c r="I43" s="241"/>
      <c r="J43" s="242"/>
      <c r="M43" s="224">
        <f t="shared" si="0"/>
        <v>2016</v>
      </c>
      <c r="N43" s="228"/>
    </row>
    <row r="44" spans="1:14" ht="11.25">
      <c r="A44" s="443" t="s">
        <v>385</v>
      </c>
      <c r="B44" s="501"/>
      <c r="C44" s="69"/>
      <c r="D44" s="243"/>
      <c r="E44" s="241"/>
      <c r="F44" s="248"/>
      <c r="G44" s="241"/>
      <c r="H44" s="241"/>
      <c r="I44" s="241"/>
      <c r="J44" s="242"/>
      <c r="M44" s="224">
        <f t="shared" si="0"/>
        <v>2017</v>
      </c>
      <c r="N44" s="228"/>
    </row>
    <row r="45" spans="1:14" ht="11.25">
      <c r="A45" s="443" t="s">
        <v>386</v>
      </c>
      <c r="B45" s="501"/>
      <c r="C45" s="69"/>
      <c r="D45" s="243"/>
      <c r="E45" s="241"/>
      <c r="F45" s="241"/>
      <c r="G45" s="241"/>
      <c r="H45" s="241"/>
      <c r="I45" s="241"/>
      <c r="J45" s="242"/>
      <c r="M45" s="224">
        <f t="shared" si="0"/>
        <v>2018</v>
      </c>
      <c r="N45" s="228"/>
    </row>
    <row r="46" spans="1:14" ht="11.25">
      <c r="A46" s="443" t="s">
        <v>387</v>
      </c>
      <c r="B46" s="501"/>
      <c r="C46" s="69"/>
      <c r="D46" s="243"/>
      <c r="E46" s="241"/>
      <c r="F46" s="241"/>
      <c r="G46" s="241"/>
      <c r="H46" s="241"/>
      <c r="I46" s="241"/>
      <c r="J46" s="242"/>
      <c r="M46" s="224">
        <f t="shared" si="0"/>
        <v>2019</v>
      </c>
      <c r="N46" s="228"/>
    </row>
    <row r="47" spans="1:14" ht="11.25">
      <c r="A47" s="457" t="s">
        <v>388</v>
      </c>
      <c r="B47" s="501"/>
      <c r="C47" s="69"/>
      <c r="D47" s="243"/>
      <c r="E47" s="241"/>
      <c r="F47" s="241"/>
      <c r="G47" s="241"/>
      <c r="H47" s="241"/>
      <c r="I47" s="241"/>
      <c r="J47" s="242"/>
      <c r="M47" s="224">
        <f t="shared" si="0"/>
        <v>2020</v>
      </c>
      <c r="N47" s="228"/>
    </row>
    <row r="48" spans="1:14" ht="11.25">
      <c r="A48" s="457" t="s">
        <v>389</v>
      </c>
      <c r="B48" s="501"/>
      <c r="C48" s="69"/>
      <c r="D48" s="243"/>
      <c r="E48" s="241"/>
      <c r="F48" s="241"/>
      <c r="G48" s="241"/>
      <c r="H48" s="241"/>
      <c r="I48" s="241"/>
      <c r="J48" s="249"/>
      <c r="M48" s="224">
        <f t="shared" si="0"/>
        <v>2021</v>
      </c>
      <c r="N48" s="228"/>
    </row>
    <row r="49" spans="1:14" ht="11.25">
      <c r="A49" s="443" t="s">
        <v>390</v>
      </c>
      <c r="B49" s="501"/>
      <c r="C49" s="69"/>
      <c r="D49" s="243"/>
      <c r="E49" s="241"/>
      <c r="F49" s="241"/>
      <c r="G49" s="241"/>
      <c r="H49" s="241"/>
      <c r="I49" s="241"/>
      <c r="J49" s="249"/>
      <c r="M49" s="224">
        <f t="shared" si="0"/>
        <v>2022</v>
      </c>
      <c r="N49" s="228"/>
    </row>
    <row r="50" spans="1:14" ht="11.25">
      <c r="A50" s="443" t="s">
        <v>391</v>
      </c>
      <c r="B50" s="501"/>
      <c r="C50" s="69"/>
      <c r="D50" s="243"/>
      <c r="E50" s="241"/>
      <c r="F50" s="241"/>
      <c r="G50" s="241"/>
      <c r="H50" s="241"/>
      <c r="I50" s="241"/>
      <c r="J50" s="242"/>
      <c r="M50" s="224">
        <f t="shared" si="0"/>
        <v>2023</v>
      </c>
      <c r="N50" s="228"/>
    </row>
    <row r="51" spans="1:14" ht="11.25">
      <c r="A51" s="443" t="s">
        <v>392</v>
      </c>
      <c r="B51" s="501"/>
      <c r="C51" s="69"/>
      <c r="D51" s="243"/>
      <c r="E51" s="241"/>
      <c r="F51" s="241"/>
      <c r="G51" s="241"/>
      <c r="H51" s="241"/>
      <c r="I51" s="241"/>
      <c r="J51" s="242"/>
      <c r="M51" s="224">
        <f t="shared" si="0"/>
        <v>2024</v>
      </c>
      <c r="N51" s="228"/>
    </row>
    <row r="52" spans="1:14" ht="11.25">
      <c r="A52" s="457" t="s">
        <v>393</v>
      </c>
      <c r="B52" s="501"/>
      <c r="C52" s="69"/>
      <c r="D52" s="243"/>
      <c r="E52" s="241"/>
      <c r="F52" s="241"/>
      <c r="G52" s="241"/>
      <c r="H52" s="241"/>
      <c r="I52" s="241"/>
      <c r="J52" s="242"/>
      <c r="M52" s="224">
        <f t="shared" si="0"/>
        <v>2025</v>
      </c>
      <c r="N52" s="228"/>
    </row>
    <row r="53" spans="1:14" ht="11.25">
      <c r="A53" s="457" t="s">
        <v>394</v>
      </c>
      <c r="B53" s="501"/>
      <c r="C53" s="69"/>
      <c r="D53" s="243"/>
      <c r="E53" s="241"/>
      <c r="F53" s="241"/>
      <c r="G53" s="241"/>
      <c r="H53" s="241"/>
      <c r="I53" s="241"/>
      <c r="J53" s="242"/>
      <c r="M53" s="224"/>
      <c r="N53" s="228"/>
    </row>
    <row r="54" spans="1:14" ht="12" thickBot="1">
      <c r="A54" s="458" t="s">
        <v>395</v>
      </c>
      <c r="B54" s="502"/>
      <c r="C54" s="69"/>
      <c r="D54" s="250"/>
      <c r="E54" s="251"/>
      <c r="F54" s="251"/>
      <c r="G54" s="251"/>
      <c r="H54" s="241"/>
      <c r="I54" s="241"/>
      <c r="J54" s="252"/>
      <c r="M54" s="224">
        <f>1+M52</f>
        <v>2026</v>
      </c>
      <c r="N54" s="228"/>
    </row>
    <row r="55" spans="1:14" ht="12.75" customHeight="1">
      <c r="A55" s="459" t="s">
        <v>396</v>
      </c>
      <c r="B55" s="539" t="s">
        <v>397</v>
      </c>
      <c r="C55" s="540"/>
      <c r="E55" s="253"/>
      <c r="F55" s="67"/>
      <c r="G55" s="460" t="s">
        <v>398</v>
      </c>
      <c r="H55" s="461" t="s">
        <v>399</v>
      </c>
      <c r="I55" s="462"/>
      <c r="J55" s="69"/>
      <c r="M55" s="224">
        <f t="shared" si="0"/>
        <v>2027</v>
      </c>
      <c r="N55" s="228"/>
    </row>
    <row r="56" spans="1:14" ht="11.25" customHeight="1">
      <c r="A56" s="463" t="s">
        <v>381</v>
      </c>
      <c r="B56" s="541"/>
      <c r="C56" s="542"/>
      <c r="E56" s="253"/>
      <c r="F56" s="67"/>
      <c r="G56" s="438">
        <v>2003</v>
      </c>
      <c r="H56" s="440"/>
      <c r="I56" s="227"/>
      <c r="J56" s="69"/>
      <c r="M56" s="224">
        <f t="shared" si="0"/>
        <v>2028</v>
      </c>
      <c r="N56" s="228"/>
    </row>
    <row r="57" spans="1:14" ht="11.25">
      <c r="A57" s="463" t="s">
        <v>384</v>
      </c>
      <c r="B57" s="541"/>
      <c r="C57" s="542"/>
      <c r="E57" s="253"/>
      <c r="F57" s="67"/>
      <c r="G57" s="439">
        <v>2005</v>
      </c>
      <c r="H57" s="440"/>
      <c r="I57" s="227"/>
      <c r="M57" s="224">
        <f t="shared" si="0"/>
        <v>2029</v>
      </c>
      <c r="N57" s="228"/>
    </row>
    <row r="58" spans="1:14" ht="11.25">
      <c r="A58" s="463" t="s">
        <v>400</v>
      </c>
      <c r="B58" s="464"/>
      <c r="C58" s="437"/>
      <c r="D58" s="253"/>
      <c r="E58" s="253"/>
      <c r="F58" s="67"/>
      <c r="G58" s="439">
        <v>2010</v>
      </c>
      <c r="H58" s="440"/>
      <c r="I58" s="227"/>
      <c r="M58" s="229">
        <f t="shared" si="0"/>
        <v>2030</v>
      </c>
      <c r="N58" s="230"/>
    </row>
    <row r="59" spans="1:9" ht="11.25">
      <c r="A59" s="465" t="s">
        <v>387</v>
      </c>
      <c r="B59" s="464"/>
      <c r="C59" s="437"/>
      <c r="D59" s="253"/>
      <c r="E59" s="253"/>
      <c r="F59" s="67"/>
      <c r="G59" s="439">
        <v>2020</v>
      </c>
      <c r="H59" s="440"/>
      <c r="I59" s="227"/>
    </row>
    <row r="60" spans="1:9" ht="11.25">
      <c r="A60" s="466" t="s">
        <v>388</v>
      </c>
      <c r="B60" s="464"/>
      <c r="C60" s="437"/>
      <c r="D60" s="253"/>
      <c r="E60" s="253"/>
      <c r="F60" s="67"/>
      <c r="G60" s="467">
        <v>2030</v>
      </c>
      <c r="H60" s="441"/>
      <c r="I60" s="442"/>
    </row>
    <row r="61" spans="1:8" ht="11.25">
      <c r="A61" s="463" t="s">
        <v>389</v>
      </c>
      <c r="B61" s="468"/>
      <c r="C61" s="227"/>
      <c r="D61" s="469"/>
      <c r="E61" s="435"/>
      <c r="F61" s="436"/>
      <c r="G61" s="159"/>
      <c r="H61" s="113"/>
    </row>
    <row r="62" spans="1:8" ht="11.25">
      <c r="A62" s="463" t="s">
        <v>401</v>
      </c>
      <c r="B62" s="468"/>
      <c r="C62" s="227"/>
      <c r="D62" s="222"/>
      <c r="E62" s="159"/>
      <c r="F62" s="223"/>
      <c r="G62" s="159"/>
      <c r="H62" s="113"/>
    </row>
    <row r="63" spans="1:8" ht="11.25">
      <c r="A63" s="463" t="s">
        <v>402</v>
      </c>
      <c r="B63" s="468"/>
      <c r="C63" s="227"/>
      <c r="D63" s="222"/>
      <c r="E63" s="159"/>
      <c r="F63" s="223"/>
      <c r="G63" s="159"/>
      <c r="H63" s="113"/>
    </row>
    <row r="64" spans="1:8" ht="11.25">
      <c r="A64" s="463" t="s">
        <v>390</v>
      </c>
      <c r="B64" s="468"/>
      <c r="C64" s="227"/>
      <c r="D64" s="222"/>
      <c r="E64" s="159"/>
      <c r="F64" s="223"/>
      <c r="G64" s="159"/>
      <c r="H64" s="113"/>
    </row>
    <row r="65" spans="1:8" ht="11.25">
      <c r="A65" s="463" t="s">
        <v>403</v>
      </c>
      <c r="B65" s="468"/>
      <c r="C65" s="227"/>
      <c r="D65" s="222"/>
      <c r="E65" s="159"/>
      <c r="F65" s="223"/>
      <c r="G65" s="159"/>
      <c r="H65" s="113"/>
    </row>
    <row r="66" spans="1:8" ht="11.25">
      <c r="A66" s="463" t="s">
        <v>404</v>
      </c>
      <c r="B66" s="468"/>
      <c r="C66" s="227"/>
      <c r="D66" s="222"/>
      <c r="E66" s="159"/>
      <c r="F66" s="223"/>
      <c r="G66" s="159"/>
      <c r="H66" s="113"/>
    </row>
    <row r="67" spans="1:8" ht="11.25">
      <c r="A67" s="463" t="s">
        <v>393</v>
      </c>
      <c r="B67" s="468"/>
      <c r="C67" s="227"/>
      <c r="D67" s="222"/>
      <c r="E67" s="159"/>
      <c r="F67" s="223"/>
      <c r="G67" s="159"/>
      <c r="H67" s="113"/>
    </row>
    <row r="68" spans="1:8" ht="11.25">
      <c r="A68" s="463" t="s">
        <v>394</v>
      </c>
      <c r="B68" s="468"/>
      <c r="C68" s="227"/>
      <c r="D68" s="222"/>
      <c r="E68" s="159"/>
      <c r="F68" s="223"/>
      <c r="G68" s="159"/>
      <c r="H68" s="223"/>
    </row>
    <row r="69" spans="1:8" ht="11.25">
      <c r="A69" s="470" t="s">
        <v>395</v>
      </c>
      <c r="B69" s="471"/>
      <c r="C69" s="442"/>
      <c r="D69" s="222"/>
      <c r="E69" s="159"/>
      <c r="F69" s="223"/>
      <c r="G69" s="159"/>
      <c r="H69" s="223"/>
    </row>
    <row r="70" spans="4:8" ht="11.25">
      <c r="D70" s="222"/>
      <c r="E70" s="159"/>
      <c r="F70" s="223"/>
      <c r="G70" s="159"/>
      <c r="H70" s="223"/>
    </row>
    <row r="71" spans="4:8" ht="11.25">
      <c r="D71" s="222"/>
      <c r="E71" s="159"/>
      <c r="F71" s="223"/>
      <c r="G71" s="159"/>
      <c r="H71" s="223"/>
    </row>
    <row r="72" spans="4:8" ht="11.25">
      <c r="D72" s="222"/>
      <c r="E72" s="159"/>
      <c r="F72" s="223"/>
      <c r="G72" s="159"/>
      <c r="H72" s="223"/>
    </row>
    <row r="73" spans="4:8" ht="11.25">
      <c r="D73" s="222"/>
      <c r="E73" s="159"/>
      <c r="F73" s="223"/>
      <c r="G73" s="159"/>
      <c r="H73" s="223"/>
    </row>
    <row r="74" spans="4:8" ht="11.25">
      <c r="D74" s="222"/>
      <c r="E74" s="159"/>
      <c r="F74" s="223"/>
      <c r="G74" s="159"/>
      <c r="H74" s="223"/>
    </row>
    <row r="75" spans="4:8" ht="11.25">
      <c r="D75" s="222"/>
      <c r="E75" s="159"/>
      <c r="F75" s="223"/>
      <c r="G75" s="159"/>
      <c r="H75" s="223"/>
    </row>
    <row r="76" spans="4:8" ht="11.25">
      <c r="D76" s="222"/>
      <c r="E76" s="159"/>
      <c r="F76" s="223"/>
      <c r="G76" s="159"/>
      <c r="H76" s="223"/>
    </row>
    <row r="77" spans="4:8" ht="11.25">
      <c r="D77" s="222"/>
      <c r="E77" s="159"/>
      <c r="F77" s="223"/>
      <c r="G77" s="159"/>
      <c r="H77" s="223"/>
    </row>
    <row r="78" spans="4:8" ht="11.25">
      <c r="D78" s="222"/>
      <c r="E78" s="159"/>
      <c r="F78" s="223"/>
      <c r="G78" s="159"/>
      <c r="H78" s="223"/>
    </row>
    <row r="79" spans="4:8" ht="11.25">
      <c r="D79" s="222"/>
      <c r="E79" s="159"/>
      <c r="F79" s="223"/>
      <c r="G79" s="159"/>
      <c r="H79" s="223"/>
    </row>
    <row r="80" spans="4:8" ht="11.25">
      <c r="D80" s="222"/>
      <c r="E80" s="159"/>
      <c r="F80" s="223"/>
      <c r="G80" s="159"/>
      <c r="H80" s="223"/>
    </row>
    <row r="81" spans="4:8" ht="11.25">
      <c r="D81" s="222"/>
      <c r="E81" s="159"/>
      <c r="F81" s="223"/>
      <c r="G81" s="159"/>
      <c r="H81" s="223"/>
    </row>
    <row r="82" spans="4:8" ht="11.25">
      <c r="D82" s="222"/>
      <c r="E82" s="159"/>
      <c r="F82" s="223"/>
      <c r="G82" s="159"/>
      <c r="H82" s="113"/>
    </row>
    <row r="83" spans="4:8" ht="11.25">
      <c r="D83" s="222"/>
      <c r="E83" s="159"/>
      <c r="F83" s="223"/>
      <c r="G83" s="159"/>
      <c r="H83" s="113"/>
    </row>
    <row r="84" spans="4:8" ht="11.25">
      <c r="D84" s="222"/>
      <c r="E84" s="159"/>
      <c r="F84" s="223"/>
      <c r="G84" s="159"/>
      <c r="H84" s="113"/>
    </row>
    <row r="85" spans="4:8" ht="11.25">
      <c r="D85" s="222"/>
      <c r="E85" s="159"/>
      <c r="F85" s="223"/>
      <c r="G85" s="159"/>
      <c r="H85" s="113"/>
    </row>
    <row r="86" spans="4:8" ht="11.25">
      <c r="D86" s="222"/>
      <c r="E86" s="159"/>
      <c r="F86" s="223"/>
      <c r="G86" s="159"/>
      <c r="H86" s="113"/>
    </row>
    <row r="87" spans="4:8" ht="11.25">
      <c r="D87" s="222"/>
      <c r="E87" s="159"/>
      <c r="F87" s="223"/>
      <c r="G87" s="159"/>
      <c r="H87" s="113"/>
    </row>
    <row r="88" spans="4:8" ht="11.25">
      <c r="D88" s="222"/>
      <c r="E88" s="159"/>
      <c r="F88" s="223"/>
      <c r="G88" s="159"/>
      <c r="H88" s="113"/>
    </row>
    <row r="89" spans="4:8" ht="11.25">
      <c r="D89" s="222"/>
      <c r="E89" s="159"/>
      <c r="F89" s="223"/>
      <c r="G89" s="159"/>
      <c r="H89" s="113"/>
    </row>
    <row r="90" spans="4:8" ht="11.25">
      <c r="D90" s="222"/>
      <c r="E90" s="159"/>
      <c r="F90" s="223"/>
      <c r="G90" s="159"/>
      <c r="H90" s="113"/>
    </row>
    <row r="91" spans="4:8" ht="11.25">
      <c r="D91" s="222"/>
      <c r="E91" s="159"/>
      <c r="F91" s="223"/>
      <c r="G91" s="159"/>
      <c r="H91" s="113"/>
    </row>
    <row r="92" spans="4:8" ht="11.25">
      <c r="D92" s="222"/>
      <c r="E92" s="159"/>
      <c r="F92" s="223"/>
      <c r="G92" s="159"/>
      <c r="H92" s="113"/>
    </row>
    <row r="93" spans="4:8" ht="11.25">
      <c r="D93" s="222"/>
      <c r="E93" s="159"/>
      <c r="F93" s="223"/>
      <c r="G93" s="159"/>
      <c r="H93" s="113"/>
    </row>
    <row r="94" spans="4:8" ht="11.25">
      <c r="D94" s="222"/>
      <c r="E94" s="159"/>
      <c r="F94" s="223"/>
      <c r="G94" s="159"/>
      <c r="H94" s="113"/>
    </row>
    <row r="95" spans="4:8" ht="11.25">
      <c r="D95" s="222"/>
      <c r="E95" s="159"/>
      <c r="F95" s="223"/>
      <c r="G95" s="159"/>
      <c r="H95" s="113"/>
    </row>
    <row r="96" spans="4:8" ht="11.25">
      <c r="D96" s="222"/>
      <c r="E96" s="159"/>
      <c r="F96" s="223"/>
      <c r="G96" s="159"/>
      <c r="H96" s="113"/>
    </row>
    <row r="97" spans="4:8" ht="11.25">
      <c r="D97" s="222"/>
      <c r="E97" s="159"/>
      <c r="F97" s="223"/>
      <c r="G97" s="159"/>
      <c r="H97" s="113"/>
    </row>
    <row r="98" spans="4:8" ht="11.25">
      <c r="D98" s="222"/>
      <c r="E98" s="159"/>
      <c r="F98" s="223"/>
      <c r="G98" s="159"/>
      <c r="H98" s="113"/>
    </row>
    <row r="99" spans="4:8" ht="11.25">
      <c r="D99" s="222"/>
      <c r="E99" s="159"/>
      <c r="F99" s="223"/>
      <c r="G99" s="159"/>
      <c r="H99" s="113"/>
    </row>
    <row r="100" spans="4:8" ht="11.25">
      <c r="D100" s="222"/>
      <c r="E100" s="159"/>
      <c r="F100" s="223"/>
      <c r="G100" s="159"/>
      <c r="H100" s="113"/>
    </row>
    <row r="101" spans="4:8" ht="11.25">
      <c r="D101" s="222"/>
      <c r="E101" s="159"/>
      <c r="F101" s="223"/>
      <c r="G101" s="159"/>
      <c r="H101" s="113"/>
    </row>
    <row r="102" spans="4:8" ht="11.25">
      <c r="D102" s="222"/>
      <c r="E102" s="159"/>
      <c r="F102" s="223"/>
      <c r="G102" s="159"/>
      <c r="H102" s="113"/>
    </row>
    <row r="103" spans="4:8" ht="11.25">
      <c r="D103" s="222"/>
      <c r="E103" s="159"/>
      <c r="F103" s="223"/>
      <c r="G103" s="159"/>
      <c r="H103" s="113"/>
    </row>
    <row r="104" spans="4:8" ht="11.25">
      <c r="D104" s="222"/>
      <c r="E104" s="159"/>
      <c r="F104" s="223"/>
      <c r="G104" s="159"/>
      <c r="H104" s="113"/>
    </row>
    <row r="105" spans="4:8" ht="11.25">
      <c r="D105" s="222"/>
      <c r="E105" s="159"/>
      <c r="F105" s="223"/>
      <c r="G105" s="159"/>
      <c r="H105" s="113"/>
    </row>
    <row r="106" spans="4:8" ht="11.25">
      <c r="D106" s="222"/>
      <c r="E106" s="159"/>
      <c r="F106" s="223"/>
      <c r="G106" s="159"/>
      <c r="H106" s="113"/>
    </row>
    <row r="107" spans="4:8" ht="11.25">
      <c r="D107" s="222"/>
      <c r="E107" s="159"/>
      <c r="F107" s="223"/>
      <c r="G107" s="159"/>
      <c r="H107" s="113"/>
    </row>
    <row r="108" spans="2:8" ht="11.25">
      <c r="B108" s="113"/>
      <c r="C108" s="113"/>
      <c r="D108" s="113"/>
      <c r="E108" s="159"/>
      <c r="F108" s="159"/>
      <c r="G108" s="113"/>
      <c r="H108" s="113"/>
    </row>
    <row r="109" spans="2:8" ht="11.25">
      <c r="B109" s="113"/>
      <c r="C109" s="113"/>
      <c r="D109" s="113"/>
      <c r="E109" s="159"/>
      <c r="F109" s="113"/>
      <c r="G109" s="113"/>
      <c r="H109" s="113"/>
    </row>
    <row r="110" spans="2:8" ht="11.25">
      <c r="B110" s="113"/>
      <c r="C110" s="113"/>
      <c r="D110" s="113"/>
      <c r="E110" s="113"/>
      <c r="F110" s="113"/>
      <c r="G110" s="113"/>
      <c r="H110" s="113"/>
    </row>
    <row r="111" spans="2:8" ht="11.25">
      <c r="B111" s="113"/>
      <c r="C111" s="113"/>
      <c r="D111" s="113"/>
      <c r="E111" s="113"/>
      <c r="F111" s="113"/>
      <c r="G111" s="113"/>
      <c r="H111" s="113"/>
    </row>
    <row r="112" spans="2:8" ht="11.25">
      <c r="B112" s="113"/>
      <c r="C112" s="113"/>
      <c r="D112" s="113"/>
      <c r="E112" s="113"/>
      <c r="F112" s="113"/>
      <c r="G112" s="113"/>
      <c r="H112" s="113"/>
    </row>
    <row r="113" spans="2:8" ht="11.25">
      <c r="B113" s="113"/>
      <c r="C113" s="113"/>
      <c r="D113" s="113"/>
      <c r="E113" s="113"/>
      <c r="F113" s="113"/>
      <c r="G113" s="113"/>
      <c r="H113" s="113"/>
    </row>
    <row r="114" spans="2:8" ht="11.25">
      <c r="B114" s="113"/>
      <c r="C114" s="113"/>
      <c r="D114" s="113"/>
      <c r="E114" s="113"/>
      <c r="F114" s="113"/>
      <c r="G114" s="113"/>
      <c r="H114" s="113"/>
    </row>
    <row r="115" spans="2:8" ht="11.25">
      <c r="B115" s="113"/>
      <c r="C115" s="113"/>
      <c r="D115" s="113"/>
      <c r="E115" s="113"/>
      <c r="F115" s="113"/>
      <c r="G115" s="113"/>
      <c r="H115" s="113"/>
    </row>
    <row r="116" spans="2:8" ht="11.25">
      <c r="B116" s="113"/>
      <c r="C116" s="113"/>
      <c r="D116" s="113"/>
      <c r="E116" s="113"/>
      <c r="F116" s="113"/>
      <c r="G116" s="113"/>
      <c r="H116" s="113"/>
    </row>
    <row r="117" spans="2:8" ht="11.25">
      <c r="B117" s="113"/>
      <c r="C117" s="113"/>
      <c r="D117" s="113"/>
      <c r="E117" s="113"/>
      <c r="F117" s="113"/>
      <c r="G117" s="113"/>
      <c r="H117" s="113"/>
    </row>
    <row r="118" spans="2:8" ht="11.25">
      <c r="B118" s="113"/>
      <c r="C118" s="113"/>
      <c r="D118" s="113"/>
      <c r="E118" s="113"/>
      <c r="F118" s="113"/>
      <c r="G118" s="113"/>
      <c r="H118" s="113"/>
    </row>
    <row r="119" spans="2:8" ht="11.25">
      <c r="B119" s="113"/>
      <c r="C119" s="113"/>
      <c r="D119" s="113"/>
      <c r="E119" s="113"/>
      <c r="F119" s="113"/>
      <c r="G119" s="113"/>
      <c r="H119" s="113"/>
    </row>
    <row r="120" spans="2:8" ht="11.25">
      <c r="B120" s="113"/>
      <c r="C120" s="113"/>
      <c r="D120" s="113"/>
      <c r="E120" s="113"/>
      <c r="F120" s="113"/>
      <c r="G120" s="113"/>
      <c r="H120" s="113"/>
    </row>
    <row r="121" spans="2:8" ht="11.25">
      <c r="B121" s="113"/>
      <c r="C121" s="113"/>
      <c r="D121" s="113"/>
      <c r="E121" s="113"/>
      <c r="F121" s="113"/>
      <c r="G121" s="113"/>
      <c r="H121" s="113"/>
    </row>
    <row r="122" spans="2:8" ht="11.25">
      <c r="B122" s="113"/>
      <c r="C122" s="113"/>
      <c r="D122" s="113"/>
      <c r="E122" s="113"/>
      <c r="F122" s="113"/>
      <c r="G122" s="113"/>
      <c r="H122" s="113"/>
    </row>
    <row r="123" spans="2:8" ht="11.25">
      <c r="B123" s="113"/>
      <c r="C123" s="113"/>
      <c r="D123" s="113"/>
      <c r="E123" s="113"/>
      <c r="F123" s="113"/>
      <c r="G123" s="113"/>
      <c r="H123" s="113"/>
    </row>
    <row r="124" spans="2:8" ht="11.25">
      <c r="B124" s="113"/>
      <c r="C124" s="113"/>
      <c r="D124" s="113"/>
      <c r="E124" s="113"/>
      <c r="F124" s="113"/>
      <c r="G124" s="113"/>
      <c r="H124" s="113"/>
    </row>
  </sheetData>
  <sheetProtection selectLockedCells="1"/>
  <mergeCells count="31">
    <mergeCell ref="B55:C57"/>
    <mergeCell ref="C1:E1"/>
    <mergeCell ref="A32:A33"/>
    <mergeCell ref="A10:A17"/>
    <mergeCell ref="B10:C17"/>
    <mergeCell ref="B4:C4"/>
    <mergeCell ref="D4:G4"/>
    <mergeCell ref="D29:G30"/>
    <mergeCell ref="B22:C26"/>
    <mergeCell ref="D22:G26"/>
    <mergeCell ref="J29:J30"/>
    <mergeCell ref="J10:J17"/>
    <mergeCell ref="J22:J26"/>
    <mergeCell ref="H10:I17"/>
    <mergeCell ref="H22:I26"/>
    <mergeCell ref="N7:N21"/>
    <mergeCell ref="K29:K30"/>
    <mergeCell ref="M4:N5"/>
    <mergeCell ref="K10:K17"/>
    <mergeCell ref="K22:K26"/>
    <mergeCell ref="L4:L5"/>
    <mergeCell ref="L22:L26"/>
    <mergeCell ref="L10:L17"/>
    <mergeCell ref="H4:I4"/>
    <mergeCell ref="H29:I30"/>
    <mergeCell ref="B29:C30"/>
    <mergeCell ref="B41:B54"/>
    <mergeCell ref="D6:G6"/>
    <mergeCell ref="D19:E20"/>
    <mergeCell ref="F19:F20"/>
    <mergeCell ref="D10:G17"/>
  </mergeCells>
  <printOptions/>
  <pageMargins left="0.57" right="0.26" top="0.56" bottom="0.55" header="0.5" footer="0.5"/>
  <pageSetup fitToHeight="1" fitToWidth="1" horizontalDpi="600" verticalDpi="600" orientation="landscape" paperSize="9" scale="56" r:id="rId1"/>
</worksheet>
</file>

<file path=xl/worksheets/sheet3.xml><?xml version="1.0" encoding="utf-8"?>
<worksheet xmlns="http://schemas.openxmlformats.org/spreadsheetml/2006/main" xmlns:r="http://schemas.openxmlformats.org/officeDocument/2006/relationships">
  <sheetPr codeName="Sheet3"/>
  <dimension ref="A1:AB1889"/>
  <sheetViews>
    <sheetView workbookViewId="0" topLeftCell="A1">
      <selection activeCell="I19" sqref="I19"/>
    </sheetView>
  </sheetViews>
  <sheetFormatPr defaultColWidth="9.140625" defaultRowHeight="12.75"/>
  <cols>
    <col min="2" max="2" width="16.7109375" style="0" customWidth="1"/>
    <col min="7" max="7" width="3.00390625" style="0" customWidth="1"/>
    <col min="8" max="8" width="10.28125" style="0" customWidth="1"/>
    <col min="13" max="13" width="3.7109375" style="0" customWidth="1"/>
  </cols>
  <sheetData>
    <row r="1" ht="12.75">
      <c r="A1" t="s">
        <v>405</v>
      </c>
    </row>
    <row r="2" ht="12.75">
      <c r="A2" t="s">
        <v>406</v>
      </c>
    </row>
    <row r="3" ht="12.75">
      <c r="A3" t="s">
        <v>407</v>
      </c>
    </row>
    <row r="4" ht="12.75">
      <c r="A4" t="s">
        <v>408</v>
      </c>
    </row>
    <row r="5" ht="12.75">
      <c r="A5" t="s">
        <v>409</v>
      </c>
    </row>
    <row r="6" ht="37.5" customHeight="1" thickBot="1"/>
    <row r="7" spans="2:13" ht="13.5" thickBot="1">
      <c r="B7" s="555" t="s">
        <v>410</v>
      </c>
      <c r="C7" s="558"/>
      <c r="D7" s="558"/>
      <c r="E7" s="558"/>
      <c r="F7" s="559"/>
      <c r="G7" s="26"/>
      <c r="M7" s="27"/>
    </row>
    <row r="8" spans="2:13" ht="39" customHeight="1">
      <c r="B8" s="24" t="s">
        <v>411</v>
      </c>
      <c r="C8" s="38" t="s">
        <v>384</v>
      </c>
      <c r="D8" s="38" t="s">
        <v>381</v>
      </c>
      <c r="E8" s="38" t="s">
        <v>400</v>
      </c>
      <c r="F8" s="38" t="s">
        <v>412</v>
      </c>
      <c r="G8" s="25"/>
      <c r="M8" s="25"/>
    </row>
    <row r="9" spans="2:28" ht="12.75">
      <c r="B9" s="29" t="s">
        <v>413</v>
      </c>
      <c r="C9" s="31"/>
      <c r="D9" s="34">
        <v>0.025</v>
      </c>
      <c r="E9" s="34">
        <v>0.2</v>
      </c>
      <c r="F9" s="34">
        <v>0.005</v>
      </c>
      <c r="G9" s="16"/>
      <c r="M9" s="41"/>
      <c r="S9" s="16"/>
      <c r="T9" s="16"/>
      <c r="U9" s="16"/>
      <c r="V9" s="16"/>
      <c r="W9" s="16"/>
      <c r="X9" s="16"/>
      <c r="Y9" s="16"/>
      <c r="Z9" s="16"/>
      <c r="AA9" s="16"/>
      <c r="AB9" s="16"/>
    </row>
    <row r="10" spans="2:28" ht="12.75">
      <c r="B10" s="29" t="s">
        <v>414</v>
      </c>
      <c r="C10" s="31"/>
      <c r="D10" s="31"/>
      <c r="E10" s="34">
        <v>0.61</v>
      </c>
      <c r="F10" s="34">
        <v>0.09</v>
      </c>
      <c r="G10" s="16"/>
      <c r="M10" s="41"/>
      <c r="S10" s="16"/>
      <c r="T10" s="16"/>
      <c r="U10" s="16"/>
      <c r="V10" s="16"/>
      <c r="W10" s="16"/>
      <c r="X10" s="16"/>
      <c r="Y10" s="16"/>
      <c r="Z10" s="16"/>
      <c r="AA10" s="16"/>
      <c r="AB10" s="16"/>
    </row>
    <row r="11" spans="2:28" ht="12.75">
      <c r="B11" s="29" t="s">
        <v>415</v>
      </c>
      <c r="C11" s="31"/>
      <c r="D11" s="34">
        <v>0.8</v>
      </c>
      <c r="E11" s="34">
        <v>0.231</v>
      </c>
      <c r="F11" s="34">
        <v>0.015</v>
      </c>
      <c r="G11" s="16"/>
      <c r="M11" s="41"/>
      <c r="S11" s="16"/>
      <c r="T11" s="16"/>
      <c r="U11" s="16"/>
      <c r="V11" s="16"/>
      <c r="W11" s="16"/>
      <c r="X11" s="16"/>
      <c r="Y11" s="16"/>
      <c r="Z11" s="16"/>
      <c r="AA11" s="16"/>
      <c r="AB11" s="16"/>
    </row>
    <row r="12" spans="2:28" ht="12.75">
      <c r="B12" s="29" t="s">
        <v>416</v>
      </c>
      <c r="C12" s="34">
        <v>0.203</v>
      </c>
      <c r="D12" s="34">
        <v>0.72</v>
      </c>
      <c r="E12" s="33">
        <v>0.15</v>
      </c>
      <c r="F12" s="33">
        <v>0.09</v>
      </c>
      <c r="G12" s="16"/>
      <c r="M12" s="41"/>
      <c r="S12" s="16"/>
      <c r="T12" s="16"/>
      <c r="U12" s="16"/>
      <c r="V12" s="16"/>
      <c r="W12" s="16"/>
      <c r="X12" s="16"/>
      <c r="Y12" s="16"/>
      <c r="Z12" s="16"/>
      <c r="AA12" s="16"/>
      <c r="AB12" s="16"/>
    </row>
    <row r="13" spans="2:28" ht="12.75">
      <c r="B13" s="29" t="s">
        <v>417</v>
      </c>
      <c r="C13" s="31"/>
      <c r="D13" s="31"/>
      <c r="E13" s="34">
        <v>0.265</v>
      </c>
      <c r="F13" s="31"/>
      <c r="G13" s="16"/>
      <c r="M13" s="41"/>
      <c r="S13" s="16"/>
      <c r="T13" s="16"/>
      <c r="U13" s="16"/>
      <c r="V13" s="16"/>
      <c r="W13" s="16"/>
      <c r="X13" s="16"/>
      <c r="Y13" s="16"/>
      <c r="Z13" s="16"/>
      <c r="AA13" s="16"/>
      <c r="AB13" s="16"/>
    </row>
    <row r="14" spans="2:28" ht="12.75">
      <c r="B14" s="29" t="s">
        <v>418</v>
      </c>
      <c r="C14" s="31"/>
      <c r="D14" s="31"/>
      <c r="E14" s="34">
        <v>0.012</v>
      </c>
      <c r="F14" s="31"/>
      <c r="G14" s="16"/>
      <c r="M14" s="41"/>
      <c r="S14" s="16"/>
      <c r="T14" s="16"/>
      <c r="U14" s="16"/>
      <c r="V14" s="16"/>
      <c r="W14" s="16"/>
      <c r="X14" s="16"/>
      <c r="Y14" s="16"/>
      <c r="Z14" s="16"/>
      <c r="AA14" s="16"/>
      <c r="AB14" s="16"/>
    </row>
    <row r="15" spans="2:28" ht="12.75">
      <c r="B15" s="29" t="s">
        <v>419</v>
      </c>
      <c r="C15" s="34">
        <v>0.06</v>
      </c>
      <c r="D15" s="34">
        <v>0.18</v>
      </c>
      <c r="E15" s="31"/>
      <c r="F15" s="34">
        <v>0.191</v>
      </c>
      <c r="G15" s="16"/>
      <c r="M15" s="41"/>
      <c r="S15" s="16"/>
      <c r="T15" s="16"/>
      <c r="U15" s="16"/>
      <c r="V15" s="16"/>
      <c r="W15" s="16"/>
      <c r="X15" s="16"/>
      <c r="Y15" s="16"/>
      <c r="Z15" s="16"/>
      <c r="AA15" s="16"/>
      <c r="AB15" s="16"/>
    </row>
    <row r="16" spans="2:28" ht="12.75">
      <c r="B16" s="29" t="s">
        <v>420</v>
      </c>
      <c r="C16" s="31"/>
      <c r="D16" s="31" t="s">
        <v>28</v>
      </c>
      <c r="E16" s="31" t="s">
        <v>29</v>
      </c>
      <c r="F16" s="31" t="s">
        <v>23</v>
      </c>
      <c r="G16" s="16"/>
      <c r="M16" s="41"/>
      <c r="S16" s="16"/>
      <c r="T16" s="16"/>
      <c r="U16" s="16"/>
      <c r="V16" s="16"/>
      <c r="W16" s="16"/>
      <c r="X16" s="16"/>
      <c r="Y16" s="16"/>
      <c r="Z16" s="16"/>
      <c r="AA16" s="16"/>
      <c r="AB16" s="16"/>
    </row>
    <row r="17" spans="2:28" ht="24.75" customHeight="1">
      <c r="B17" s="29" t="s">
        <v>421</v>
      </c>
      <c r="C17" s="31"/>
      <c r="D17" s="33">
        <v>0.5</v>
      </c>
      <c r="E17" s="34">
        <v>0.362</v>
      </c>
      <c r="F17" s="31"/>
      <c r="G17" s="16"/>
      <c r="M17" s="41"/>
      <c r="S17" s="16"/>
      <c r="T17" s="16"/>
      <c r="U17" s="16"/>
      <c r="V17" s="16"/>
      <c r="W17" s="16"/>
      <c r="X17" s="16"/>
      <c r="Y17" s="16"/>
      <c r="Z17" s="16"/>
      <c r="AA17" s="16"/>
      <c r="AB17" s="16"/>
    </row>
    <row r="18" spans="2:28" ht="24.75" customHeight="1">
      <c r="B18" s="30" t="s">
        <v>422</v>
      </c>
      <c r="C18" s="31"/>
      <c r="D18" s="31"/>
      <c r="E18" s="31"/>
      <c r="F18" s="34">
        <v>0.07</v>
      </c>
      <c r="G18" s="16"/>
      <c r="M18" s="41"/>
      <c r="S18" s="16"/>
      <c r="T18" s="16"/>
      <c r="U18" s="16"/>
      <c r="V18" s="16"/>
      <c r="W18" s="16"/>
      <c r="X18" s="16"/>
      <c r="Y18" s="16"/>
      <c r="Z18" s="16"/>
      <c r="AA18" s="16"/>
      <c r="AB18" s="16"/>
    </row>
    <row r="19" spans="2:28" ht="12.75">
      <c r="B19" s="29" t="s">
        <v>423</v>
      </c>
      <c r="C19" s="31"/>
      <c r="D19" s="32">
        <v>0.003</v>
      </c>
      <c r="E19" s="34">
        <v>0.003</v>
      </c>
      <c r="F19" s="31"/>
      <c r="G19" s="16"/>
      <c r="M19" s="41"/>
      <c r="S19" s="16"/>
      <c r="T19" s="16"/>
      <c r="U19" s="16"/>
      <c r="V19" s="16"/>
      <c r="W19" s="16"/>
      <c r="X19" s="16"/>
      <c r="Y19" s="16"/>
      <c r="Z19" s="16"/>
      <c r="AA19" s="16"/>
      <c r="AB19" s="16"/>
    </row>
    <row r="20" spans="2:28" ht="12.75">
      <c r="B20" s="29" t="s">
        <v>424</v>
      </c>
      <c r="C20" s="34">
        <v>0.007</v>
      </c>
      <c r="D20" s="32">
        <v>0.002</v>
      </c>
      <c r="E20" s="34">
        <v>0.002</v>
      </c>
      <c r="F20" s="34">
        <v>0.007</v>
      </c>
      <c r="G20" s="16"/>
      <c r="M20" s="41"/>
      <c r="S20" s="16"/>
      <c r="T20" s="16"/>
      <c r="U20" s="16"/>
      <c r="V20" s="16"/>
      <c r="W20" s="16"/>
      <c r="X20" s="16"/>
      <c r="Y20" s="16"/>
      <c r="Z20" s="16"/>
      <c r="AA20" s="16"/>
      <c r="AB20" s="16"/>
    </row>
    <row r="21" spans="2:28" ht="12.75">
      <c r="B21" s="29" t="s">
        <v>425</v>
      </c>
      <c r="C21" s="31"/>
      <c r="D21" s="31"/>
      <c r="E21" s="34">
        <v>0.002</v>
      </c>
      <c r="F21" s="34">
        <v>0.001</v>
      </c>
      <c r="G21" s="16"/>
      <c r="M21" s="41"/>
      <c r="S21" s="16"/>
      <c r="T21" s="16"/>
      <c r="U21" s="16"/>
      <c r="V21" s="16"/>
      <c r="W21" s="16"/>
      <c r="X21" s="16"/>
      <c r="Y21" s="16"/>
      <c r="Z21" s="16"/>
      <c r="AA21" s="16"/>
      <c r="AB21" s="16"/>
    </row>
    <row r="22" spans="2:28" ht="12.75">
      <c r="B22" s="29" t="s">
        <v>426</v>
      </c>
      <c r="C22" s="34">
        <v>0.152</v>
      </c>
      <c r="D22" s="34">
        <v>0.87</v>
      </c>
      <c r="E22" s="34">
        <v>0.2</v>
      </c>
      <c r="F22" s="34">
        <v>0.42</v>
      </c>
      <c r="G22" s="16"/>
      <c r="M22" s="41"/>
      <c r="S22" s="16"/>
      <c r="T22" s="16"/>
      <c r="U22" s="16"/>
      <c r="V22" s="16"/>
      <c r="W22" s="16"/>
      <c r="X22" s="16"/>
      <c r="Y22" s="16"/>
      <c r="Z22" s="16"/>
      <c r="AA22" s="16"/>
      <c r="AB22" s="16"/>
    </row>
    <row r="23" spans="2:13" ht="12.75">
      <c r="B23" s="35" t="s">
        <v>427</v>
      </c>
      <c r="C23" s="36"/>
      <c r="D23" s="37">
        <v>0.8</v>
      </c>
      <c r="E23" s="37">
        <v>0.21</v>
      </c>
      <c r="F23" s="37">
        <v>0.02</v>
      </c>
      <c r="M23" s="41"/>
    </row>
    <row r="24" spans="7:28" ht="12.75">
      <c r="G24" s="16"/>
      <c r="M24" s="41"/>
      <c r="S24" s="16"/>
      <c r="T24" s="16"/>
      <c r="U24" s="16"/>
      <c r="V24" s="16"/>
      <c r="W24" s="16"/>
      <c r="X24" s="16"/>
      <c r="Y24" s="16"/>
      <c r="Z24" s="16"/>
      <c r="AA24" s="16"/>
      <c r="AB24" s="16"/>
    </row>
    <row r="25" spans="2:13" ht="12.75">
      <c r="B25" s="29" t="s">
        <v>428</v>
      </c>
      <c r="M25" s="41"/>
    </row>
    <row r="26" spans="8:13" ht="13.5" thickBot="1">
      <c r="H26" s="23"/>
      <c r="I26" s="41"/>
      <c r="J26" s="41"/>
      <c r="K26" s="41"/>
      <c r="L26" s="41"/>
      <c r="M26" s="41"/>
    </row>
    <row r="27" spans="2:13" ht="13.5" thickBot="1">
      <c r="B27" s="555" t="s">
        <v>429</v>
      </c>
      <c r="C27" s="556"/>
      <c r="D27" s="556"/>
      <c r="E27" s="556"/>
      <c r="F27" s="557"/>
      <c r="H27" s="23"/>
      <c r="I27" s="41"/>
      <c r="J27" s="41"/>
      <c r="K27" s="41"/>
      <c r="L27" s="41"/>
      <c r="M27" s="41"/>
    </row>
    <row r="28" spans="2:13" ht="25.5">
      <c r="B28" s="24" t="s">
        <v>411</v>
      </c>
      <c r="C28" s="38" t="s">
        <v>384</v>
      </c>
      <c r="D28" s="38" t="s">
        <v>381</v>
      </c>
      <c r="E28" s="38" t="s">
        <v>400</v>
      </c>
      <c r="F28" s="38" t="s">
        <v>412</v>
      </c>
      <c r="H28" s="23"/>
      <c r="I28" s="41"/>
      <c r="J28" s="41"/>
      <c r="K28" s="41"/>
      <c r="L28" s="41"/>
      <c r="M28" s="41"/>
    </row>
    <row r="29" spans="2:28" ht="12.75">
      <c r="B29" s="39" t="s">
        <v>430</v>
      </c>
      <c r="C29" s="40">
        <v>0.67</v>
      </c>
      <c r="D29" s="40">
        <v>0.92</v>
      </c>
      <c r="E29" s="40">
        <v>0.093</v>
      </c>
      <c r="F29" s="40">
        <v>0.197</v>
      </c>
      <c r="G29" s="16"/>
      <c r="H29" s="39"/>
      <c r="I29" s="41"/>
      <c r="J29" s="41"/>
      <c r="K29" s="41"/>
      <c r="L29" s="41"/>
      <c r="M29" s="41"/>
      <c r="N29" s="41"/>
      <c r="O29" s="41"/>
      <c r="P29" s="41"/>
      <c r="Q29" s="41"/>
      <c r="R29" s="18"/>
      <c r="S29" s="16"/>
      <c r="T29" s="16"/>
      <c r="U29" s="16"/>
      <c r="V29" s="16"/>
      <c r="W29" s="16"/>
      <c r="X29" s="16"/>
      <c r="Y29" s="16"/>
      <c r="Z29" s="16"/>
      <c r="AA29" s="16"/>
      <c r="AB29" s="16"/>
    </row>
    <row r="30" spans="2:28" ht="12.75">
      <c r="B30" s="39" t="s">
        <v>431</v>
      </c>
      <c r="C30" s="41"/>
      <c r="D30" s="41"/>
      <c r="E30" s="40">
        <v>0.44</v>
      </c>
      <c r="F30" s="40">
        <v>0.184</v>
      </c>
      <c r="G30" s="16"/>
      <c r="H30" s="39"/>
      <c r="I30" s="41"/>
      <c r="J30" s="41"/>
      <c r="K30" s="41"/>
      <c r="L30" s="41"/>
      <c r="M30" s="41"/>
      <c r="N30" s="41"/>
      <c r="O30" s="41"/>
      <c r="P30" s="41"/>
      <c r="Q30" s="41"/>
      <c r="R30" s="18"/>
      <c r="S30" s="16"/>
      <c r="T30" s="16"/>
      <c r="U30" s="16"/>
      <c r="V30" s="16"/>
      <c r="W30" s="16"/>
      <c r="X30" s="16"/>
      <c r="Y30" s="16"/>
      <c r="Z30" s="16"/>
      <c r="AA30" s="16"/>
      <c r="AB30" s="16"/>
    </row>
    <row r="31" spans="2:28" ht="12.75">
      <c r="B31" s="39" t="s">
        <v>432</v>
      </c>
      <c r="C31" s="41"/>
      <c r="D31" s="41"/>
      <c r="E31" s="40"/>
      <c r="F31" s="40">
        <v>0.047</v>
      </c>
      <c r="G31" s="16"/>
      <c r="H31" s="39"/>
      <c r="I31" s="41"/>
      <c r="J31" s="41"/>
      <c r="K31" s="41"/>
      <c r="L31" s="41"/>
      <c r="M31" s="41"/>
      <c r="N31" s="41"/>
      <c r="O31" s="41"/>
      <c r="P31" s="41"/>
      <c r="Q31" s="41"/>
      <c r="R31" s="18"/>
      <c r="S31" s="16"/>
      <c r="T31" s="16"/>
      <c r="U31" s="16"/>
      <c r="V31" s="16"/>
      <c r="W31" s="16"/>
      <c r="X31" s="16"/>
      <c r="Y31" s="16"/>
      <c r="Z31" s="16"/>
      <c r="AA31" s="16"/>
      <c r="AB31" s="16"/>
    </row>
    <row r="32" spans="2:28" ht="12.75">
      <c r="B32" s="39" t="s">
        <v>433</v>
      </c>
      <c r="C32" s="41"/>
      <c r="D32" s="41"/>
      <c r="E32" s="40">
        <v>0.003</v>
      </c>
      <c r="F32" s="40">
        <v>0.02</v>
      </c>
      <c r="G32" s="16"/>
      <c r="H32" s="39"/>
      <c r="I32" s="41"/>
      <c r="J32" s="41"/>
      <c r="K32" s="41"/>
      <c r="L32" s="41"/>
      <c r="M32" s="41"/>
      <c r="N32" s="41"/>
      <c r="O32" s="41"/>
      <c r="P32" s="41"/>
      <c r="Q32" s="41"/>
      <c r="R32" s="18"/>
      <c r="S32" s="16"/>
      <c r="T32" s="16"/>
      <c r="U32" s="16"/>
      <c r="V32" s="16"/>
      <c r="W32" s="16"/>
      <c r="X32" s="16"/>
      <c r="Y32" s="16"/>
      <c r="Z32" s="16"/>
      <c r="AA32" s="16"/>
      <c r="AB32" s="16"/>
    </row>
    <row r="33" spans="2:28" ht="12.75">
      <c r="B33" s="39" t="s">
        <v>434</v>
      </c>
      <c r="C33" s="40">
        <v>0.304</v>
      </c>
      <c r="D33" s="40">
        <v>0.765</v>
      </c>
      <c r="E33" s="40">
        <v>0.178</v>
      </c>
      <c r="F33" s="40">
        <v>0.106</v>
      </c>
      <c r="G33" s="16"/>
      <c r="H33" s="39"/>
      <c r="I33" s="41"/>
      <c r="J33" s="41"/>
      <c r="K33" s="41"/>
      <c r="L33" s="41"/>
      <c r="M33" s="41"/>
      <c r="N33" s="41"/>
      <c r="O33" s="41"/>
      <c r="P33" s="41"/>
      <c r="Q33" s="41"/>
      <c r="R33" s="18"/>
      <c r="S33" s="16"/>
      <c r="T33" s="16"/>
      <c r="U33" s="16"/>
      <c r="V33" s="16"/>
      <c r="W33" s="16"/>
      <c r="X33" s="16"/>
      <c r="Y33" s="16"/>
      <c r="Z33" s="16"/>
      <c r="AA33" s="16"/>
      <c r="AB33" s="16"/>
    </row>
    <row r="34" spans="2:28" ht="12.75">
      <c r="B34" s="39" t="s">
        <v>435</v>
      </c>
      <c r="C34" s="40"/>
      <c r="D34" s="40"/>
      <c r="E34" s="40"/>
      <c r="F34" s="40">
        <v>0.035</v>
      </c>
      <c r="G34" s="16"/>
      <c r="H34" s="39"/>
      <c r="I34" s="41"/>
      <c r="J34" s="41"/>
      <c r="K34" s="41"/>
      <c r="L34" s="41"/>
      <c r="M34" s="41"/>
      <c r="N34" s="41"/>
      <c r="O34" s="41"/>
      <c r="P34" s="41"/>
      <c r="Q34" s="41"/>
      <c r="R34" s="18"/>
      <c r="S34" s="16"/>
      <c r="T34" s="16"/>
      <c r="U34" s="16"/>
      <c r="V34" s="16"/>
      <c r="W34" s="16"/>
      <c r="X34" s="16"/>
      <c r="Y34" s="16"/>
      <c r="Z34" s="16"/>
      <c r="AA34" s="16"/>
      <c r="AB34" s="16"/>
    </row>
    <row r="35" spans="2:28" ht="12.75">
      <c r="B35" s="39" t="s">
        <v>436</v>
      </c>
      <c r="C35" s="40">
        <v>0.41</v>
      </c>
      <c r="D35" s="40"/>
      <c r="E35" s="40">
        <f>0.9%</f>
        <v>0.009000000000000001</v>
      </c>
      <c r="F35" s="40">
        <f>0.1%</f>
        <v>0.001</v>
      </c>
      <c r="G35" s="16"/>
      <c r="H35" s="39"/>
      <c r="I35" s="41"/>
      <c r="J35" s="41"/>
      <c r="K35" s="41"/>
      <c r="L35" s="41"/>
      <c r="M35" s="41"/>
      <c r="N35" s="41"/>
      <c r="O35" s="41"/>
      <c r="P35" s="41"/>
      <c r="Q35" s="41"/>
      <c r="R35" s="18"/>
      <c r="S35" s="16"/>
      <c r="T35" s="16"/>
      <c r="U35" s="16"/>
      <c r="V35" s="16"/>
      <c r="W35" s="16"/>
      <c r="X35" s="16"/>
      <c r="Y35" s="16"/>
      <c r="Z35" s="16"/>
      <c r="AA35" s="16"/>
      <c r="AB35" s="16"/>
    </row>
    <row r="36" spans="2:28" ht="12.75">
      <c r="B36" s="39" t="s">
        <v>437</v>
      </c>
      <c r="C36" s="40">
        <v>0.158</v>
      </c>
      <c r="D36" s="40"/>
      <c r="E36" s="40">
        <v>0.009</v>
      </c>
      <c r="F36" s="40">
        <v>0.032</v>
      </c>
      <c r="G36" s="16"/>
      <c r="H36" s="39"/>
      <c r="I36" s="41"/>
      <c r="J36" s="41"/>
      <c r="K36" s="41"/>
      <c r="L36" s="41"/>
      <c r="M36" s="41"/>
      <c r="N36" s="41"/>
      <c r="O36" s="41"/>
      <c r="P36" s="41"/>
      <c r="Q36" s="41"/>
      <c r="R36" s="18"/>
      <c r="S36" s="16"/>
      <c r="T36" s="16"/>
      <c r="U36" s="16"/>
      <c r="V36" s="16"/>
      <c r="W36" s="16"/>
      <c r="X36" s="16"/>
      <c r="Y36" s="16"/>
      <c r="Z36" s="16"/>
      <c r="AA36" s="16"/>
      <c r="AB36" s="16"/>
    </row>
    <row r="37" spans="2:28" ht="25.5">
      <c r="B37" s="42" t="s">
        <v>438</v>
      </c>
      <c r="C37" s="40">
        <v>0.117</v>
      </c>
      <c r="D37" s="40"/>
      <c r="E37" s="40">
        <v>0.1</v>
      </c>
      <c r="F37" s="40">
        <v>0.092</v>
      </c>
      <c r="G37" s="16"/>
      <c r="H37" s="39"/>
      <c r="I37" s="41"/>
      <c r="J37" s="41"/>
      <c r="K37" s="41"/>
      <c r="L37" s="41"/>
      <c r="M37" s="41"/>
      <c r="N37" s="41"/>
      <c r="O37" s="41"/>
      <c r="P37" s="41"/>
      <c r="Q37" s="41"/>
      <c r="R37" s="18"/>
      <c r="S37" s="16"/>
      <c r="T37" s="16"/>
      <c r="U37" s="16"/>
      <c r="V37" s="16"/>
      <c r="W37" s="16"/>
      <c r="X37" s="16"/>
      <c r="Y37" s="16"/>
      <c r="Z37" s="16"/>
      <c r="AA37" s="16"/>
      <c r="AB37" s="16"/>
    </row>
    <row r="38" spans="2:28" ht="12.75">
      <c r="B38" s="39" t="s">
        <v>439</v>
      </c>
      <c r="C38" s="40"/>
      <c r="D38" s="40"/>
      <c r="E38" s="40"/>
      <c r="F38" s="40">
        <v>0.036</v>
      </c>
      <c r="G38" s="16"/>
      <c r="H38" s="39"/>
      <c r="I38" s="41"/>
      <c r="J38" s="41"/>
      <c r="K38" s="41"/>
      <c r="L38" s="41"/>
      <c r="M38" s="41"/>
      <c r="N38" s="41"/>
      <c r="O38" s="41"/>
      <c r="P38" s="41"/>
      <c r="Q38" s="41"/>
      <c r="R38" s="18"/>
      <c r="S38" s="16"/>
      <c r="T38" s="16"/>
      <c r="U38" s="16"/>
      <c r="V38" s="16"/>
      <c r="W38" s="16"/>
      <c r="X38" s="16"/>
      <c r="Y38" s="16"/>
      <c r="Z38" s="16"/>
      <c r="AA38" s="16"/>
      <c r="AB38" s="16"/>
    </row>
    <row r="39" spans="2:28" ht="12.75">
      <c r="B39" s="39" t="s">
        <v>440</v>
      </c>
      <c r="C39" s="40"/>
      <c r="D39" s="40"/>
      <c r="E39" s="40">
        <v>0.048</v>
      </c>
      <c r="F39" s="40"/>
      <c r="G39" s="16"/>
      <c r="H39" s="39"/>
      <c r="I39" s="41"/>
      <c r="J39" s="41"/>
      <c r="K39" s="41"/>
      <c r="L39" s="41"/>
      <c r="M39" s="41"/>
      <c r="N39" s="41"/>
      <c r="O39" s="41"/>
      <c r="P39" s="41"/>
      <c r="Q39" s="41"/>
      <c r="R39" s="18"/>
      <c r="S39" s="16"/>
      <c r="T39" s="16"/>
      <c r="U39" s="16"/>
      <c r="V39" s="16"/>
      <c r="W39" s="16"/>
      <c r="X39" s="16"/>
      <c r="Y39" s="16"/>
      <c r="Z39" s="16"/>
      <c r="AA39" s="16"/>
      <c r="AB39" s="16"/>
    </row>
    <row r="40" spans="2:28" ht="12.75">
      <c r="B40" s="39" t="s">
        <v>441</v>
      </c>
      <c r="C40" s="40"/>
      <c r="D40" s="40"/>
      <c r="E40" s="40">
        <v>0.45</v>
      </c>
      <c r="F40" s="40">
        <v>0.215</v>
      </c>
      <c r="G40" s="16"/>
      <c r="H40" s="39"/>
      <c r="I40" s="41"/>
      <c r="J40" s="41"/>
      <c r="K40" s="41"/>
      <c r="L40" s="41"/>
      <c r="M40" s="41"/>
      <c r="N40" s="41"/>
      <c r="O40" s="41"/>
      <c r="P40" s="41"/>
      <c r="Q40" s="41"/>
      <c r="R40" s="18"/>
      <c r="S40" s="16"/>
      <c r="T40" s="16"/>
      <c r="U40" s="16"/>
      <c r="V40" s="16"/>
      <c r="W40" s="16"/>
      <c r="X40" s="16"/>
      <c r="Y40" s="16"/>
      <c r="Z40" s="16"/>
      <c r="AA40" s="16"/>
      <c r="AB40" s="16"/>
    </row>
    <row r="41" spans="2:28" ht="12.75">
      <c r="B41" s="39" t="s">
        <v>442</v>
      </c>
      <c r="C41" s="40">
        <v>0.444</v>
      </c>
      <c r="D41" s="40"/>
      <c r="E41" s="40">
        <v>0.077</v>
      </c>
      <c r="F41" s="40">
        <v>0.112</v>
      </c>
      <c r="G41" s="16"/>
      <c r="H41" s="39"/>
      <c r="I41" s="41"/>
      <c r="J41" s="41"/>
      <c r="K41" s="41"/>
      <c r="L41" s="41"/>
      <c r="M41" s="41"/>
      <c r="N41" s="41"/>
      <c r="O41" s="41"/>
      <c r="P41" s="41"/>
      <c r="Q41" s="41"/>
      <c r="R41" s="18"/>
      <c r="S41" s="16"/>
      <c r="T41" s="16"/>
      <c r="U41" s="16"/>
      <c r="V41" s="16"/>
      <c r="W41" s="16"/>
      <c r="X41" s="16"/>
      <c r="Y41" s="16"/>
      <c r="Z41" s="16"/>
      <c r="AA41" s="16"/>
      <c r="AB41" s="16"/>
    </row>
    <row r="42" spans="2:28" ht="12.75">
      <c r="B42" s="39" t="s">
        <v>443</v>
      </c>
      <c r="C42" s="40">
        <v>0.667</v>
      </c>
      <c r="D42" s="40"/>
      <c r="E42" s="40">
        <v>0.05</v>
      </c>
      <c r="F42" s="40">
        <v>0.03</v>
      </c>
      <c r="G42" s="16"/>
      <c r="H42" s="39"/>
      <c r="I42" s="41"/>
      <c r="J42" s="41"/>
      <c r="K42" s="41"/>
      <c r="L42" s="41"/>
      <c r="M42" s="41"/>
      <c r="N42" s="41"/>
      <c r="O42" s="41"/>
      <c r="P42" s="41"/>
      <c r="Q42" s="41"/>
      <c r="R42" s="18"/>
      <c r="S42" s="16"/>
      <c r="T42" s="16"/>
      <c r="U42" s="16"/>
      <c r="V42" s="16"/>
      <c r="W42" s="16"/>
      <c r="X42" s="16"/>
      <c r="Y42" s="16"/>
      <c r="Z42" s="16"/>
      <c r="AA42" s="16"/>
      <c r="AB42" s="16"/>
    </row>
    <row r="43" spans="2:28" ht="12.75">
      <c r="B43" s="23" t="s">
        <v>444</v>
      </c>
      <c r="C43" s="40">
        <v>0.38</v>
      </c>
      <c r="D43" s="40">
        <v>0.059</v>
      </c>
      <c r="E43" s="40">
        <v>0.011</v>
      </c>
      <c r="F43" s="40">
        <v>0.174</v>
      </c>
      <c r="G43" s="16"/>
      <c r="H43" s="39"/>
      <c r="I43" s="41"/>
      <c r="J43" s="41"/>
      <c r="K43" s="41"/>
      <c r="L43" s="41"/>
      <c r="M43" s="41"/>
      <c r="N43" s="41"/>
      <c r="O43" s="41"/>
      <c r="P43" s="41"/>
      <c r="Q43" s="41"/>
      <c r="R43" s="18"/>
      <c r="S43" s="16"/>
      <c r="T43" s="16"/>
      <c r="U43" s="16"/>
      <c r="V43" s="16"/>
      <c r="W43" s="16"/>
      <c r="X43" s="16"/>
      <c r="Y43" s="16"/>
      <c r="Z43" s="16"/>
      <c r="AA43" s="16"/>
      <c r="AB43" s="16"/>
    </row>
    <row r="44" spans="2:28" ht="12.75">
      <c r="B44" s="39" t="s">
        <v>445</v>
      </c>
      <c r="C44" s="40"/>
      <c r="D44" s="40"/>
      <c r="E44" s="40">
        <v>0.026</v>
      </c>
      <c r="F44" s="40"/>
      <c r="G44" s="16"/>
      <c r="H44" s="39"/>
      <c r="I44" s="41"/>
      <c r="J44" s="41"/>
      <c r="K44" s="41"/>
      <c r="L44" s="41"/>
      <c r="M44" s="41"/>
      <c r="N44" s="41"/>
      <c r="O44" s="41"/>
      <c r="P44" s="41"/>
      <c r="Q44" s="41"/>
      <c r="R44" s="18"/>
      <c r="S44" s="16"/>
      <c r="T44" s="16"/>
      <c r="U44" s="16"/>
      <c r="V44" s="16"/>
      <c r="W44" s="16"/>
      <c r="X44" s="16"/>
      <c r="Y44" s="16"/>
      <c r="Z44" s="16"/>
      <c r="AA44" s="16"/>
      <c r="AB44" s="16"/>
    </row>
    <row r="45" spans="2:28" ht="12.75">
      <c r="B45" s="28" t="s">
        <v>446</v>
      </c>
      <c r="C45" s="44">
        <v>0.051</v>
      </c>
      <c r="D45" s="44">
        <v>0.244</v>
      </c>
      <c r="E45" s="44">
        <v>0.005</v>
      </c>
      <c r="F45" s="44">
        <v>0.013</v>
      </c>
      <c r="G45" s="16"/>
      <c r="H45" s="39"/>
      <c r="I45" s="41"/>
      <c r="J45" s="41"/>
      <c r="K45" s="41"/>
      <c r="L45" s="41"/>
      <c r="M45" s="41"/>
      <c r="N45" s="41"/>
      <c r="O45" s="41"/>
      <c r="P45" s="41"/>
      <c r="Q45" s="41"/>
      <c r="R45" s="18"/>
      <c r="S45" s="16"/>
      <c r="T45" s="16"/>
      <c r="U45" s="16"/>
      <c r="V45" s="16"/>
      <c r="W45" s="16"/>
      <c r="X45" s="16"/>
      <c r="Y45" s="16"/>
      <c r="Z45" s="16"/>
      <c r="AA45" s="16"/>
      <c r="AB45" s="16"/>
    </row>
    <row r="46" spans="3:28" ht="13.5" thickBot="1">
      <c r="C46" s="16"/>
      <c r="D46" s="16"/>
      <c r="E46" s="16"/>
      <c r="F46" s="16"/>
      <c r="G46" s="16"/>
      <c r="H46" s="39"/>
      <c r="I46" s="41"/>
      <c r="J46" s="41"/>
      <c r="K46" s="41"/>
      <c r="L46" s="41"/>
      <c r="M46" s="41"/>
      <c r="N46" s="41"/>
      <c r="O46" s="41"/>
      <c r="P46" s="41"/>
      <c r="Q46" s="41"/>
      <c r="R46" s="18"/>
      <c r="S46" s="16"/>
      <c r="T46" s="16"/>
      <c r="U46" s="16"/>
      <c r="V46" s="16"/>
      <c r="W46" s="16"/>
      <c r="X46" s="16"/>
      <c r="Y46" s="16"/>
      <c r="Z46" s="16"/>
      <c r="AA46" s="16"/>
      <c r="AB46" s="16"/>
    </row>
    <row r="47" spans="2:28" ht="13.5" thickBot="1">
      <c r="B47" s="555" t="s">
        <v>447</v>
      </c>
      <c r="C47" s="556"/>
      <c r="D47" s="556"/>
      <c r="E47" s="556"/>
      <c r="F47" s="557"/>
      <c r="G47" s="16"/>
      <c r="H47" s="39"/>
      <c r="I47" s="41"/>
      <c r="J47" s="41"/>
      <c r="K47" s="41"/>
      <c r="L47" s="41"/>
      <c r="M47" s="41"/>
      <c r="N47" s="41"/>
      <c r="O47" s="41"/>
      <c r="P47" s="41"/>
      <c r="Q47" s="41"/>
      <c r="R47" s="18"/>
      <c r="S47" s="16"/>
      <c r="T47" s="16"/>
      <c r="U47" s="16"/>
      <c r="V47" s="16"/>
      <c r="W47" s="16"/>
      <c r="X47" s="16"/>
      <c r="Y47" s="16"/>
      <c r="Z47" s="16"/>
      <c r="AA47" s="16"/>
      <c r="AB47" s="16"/>
    </row>
    <row r="48" spans="2:28" ht="25.5">
      <c r="B48" s="24" t="s">
        <v>411</v>
      </c>
      <c r="C48" s="38" t="s">
        <v>384</v>
      </c>
      <c r="D48" s="38" t="s">
        <v>381</v>
      </c>
      <c r="E48" s="38" t="s">
        <v>400</v>
      </c>
      <c r="F48" s="38" t="s">
        <v>412</v>
      </c>
      <c r="G48" s="16"/>
      <c r="H48" s="39"/>
      <c r="I48" s="41"/>
      <c r="J48" s="41"/>
      <c r="K48" s="41"/>
      <c r="L48" s="41"/>
      <c r="M48" s="41"/>
      <c r="N48" s="41"/>
      <c r="O48" s="41"/>
      <c r="P48" s="41"/>
      <c r="Q48" s="41"/>
      <c r="R48" s="18"/>
      <c r="S48" s="16"/>
      <c r="T48" s="16"/>
      <c r="U48" s="16"/>
      <c r="V48" s="16"/>
      <c r="W48" s="16"/>
      <c r="X48" s="16"/>
      <c r="Y48" s="16"/>
      <c r="Z48" s="16"/>
      <c r="AA48" s="16"/>
      <c r="AB48" s="16"/>
    </row>
    <row r="49" spans="2:28" ht="12.75">
      <c r="B49" s="23" t="s">
        <v>448</v>
      </c>
      <c r="C49" s="40">
        <v>0.003</v>
      </c>
      <c r="D49" s="40">
        <v>0.21</v>
      </c>
      <c r="E49" s="40"/>
      <c r="F49" s="40"/>
      <c r="G49" s="16"/>
      <c r="H49" s="39"/>
      <c r="I49" s="41"/>
      <c r="J49" s="41"/>
      <c r="K49" s="41"/>
      <c r="L49" s="41"/>
      <c r="M49" s="41"/>
      <c r="N49" s="41"/>
      <c r="O49" s="41"/>
      <c r="P49" s="41"/>
      <c r="Q49" s="41"/>
      <c r="R49" s="18"/>
      <c r="S49" s="16"/>
      <c r="T49" s="16"/>
      <c r="U49" s="16"/>
      <c r="V49" s="16"/>
      <c r="W49" s="16"/>
      <c r="X49" s="16"/>
      <c r="Y49" s="16"/>
      <c r="Z49" s="16"/>
      <c r="AA49" s="16"/>
      <c r="AB49" s="16"/>
    </row>
    <row r="50" spans="2:28" ht="12.75">
      <c r="B50" s="23" t="s">
        <v>449</v>
      </c>
      <c r="C50" s="40"/>
      <c r="D50" s="40">
        <v>0.1</v>
      </c>
      <c r="E50" s="40"/>
      <c r="F50" s="40"/>
      <c r="G50" s="16"/>
      <c r="H50" s="39"/>
      <c r="I50" s="39"/>
      <c r="J50" s="39"/>
      <c r="K50" s="39"/>
      <c r="L50" s="39"/>
      <c r="M50" s="39"/>
      <c r="N50" s="39"/>
      <c r="O50" s="39"/>
      <c r="P50" s="39"/>
      <c r="Q50" s="39"/>
      <c r="R50" s="16"/>
      <c r="S50" s="16"/>
      <c r="T50" s="16"/>
      <c r="U50" s="16"/>
      <c r="V50" s="16"/>
      <c r="W50" s="16"/>
      <c r="X50" s="16"/>
      <c r="Y50" s="16"/>
      <c r="Z50" s="16"/>
      <c r="AA50" s="16"/>
      <c r="AB50" s="16"/>
    </row>
    <row r="51" spans="2:28" ht="12.75">
      <c r="B51" s="23" t="s">
        <v>450</v>
      </c>
      <c r="C51" s="40"/>
      <c r="D51" s="40"/>
      <c r="E51" s="40">
        <v>0.013</v>
      </c>
      <c r="F51" s="40"/>
      <c r="G51" s="16"/>
      <c r="H51" s="39"/>
      <c r="I51" s="39"/>
      <c r="J51" s="39"/>
      <c r="K51" s="39"/>
      <c r="L51" s="39"/>
      <c r="M51" s="39"/>
      <c r="N51" s="39"/>
      <c r="O51" s="39"/>
      <c r="P51" s="39"/>
      <c r="Q51" s="39"/>
      <c r="R51" s="16"/>
      <c r="S51" s="16"/>
      <c r="T51" s="16"/>
      <c r="U51" s="16"/>
      <c r="V51" s="16"/>
      <c r="W51" s="16"/>
      <c r="X51" s="16"/>
      <c r="Y51" s="16"/>
      <c r="Z51" s="16"/>
      <c r="AA51" s="16"/>
      <c r="AB51" s="16"/>
    </row>
    <row r="52" spans="2:28" ht="12.75">
      <c r="B52" s="23" t="s">
        <v>451</v>
      </c>
      <c r="C52" s="40">
        <v>0.029</v>
      </c>
      <c r="D52" s="40">
        <v>0.039</v>
      </c>
      <c r="E52" s="40">
        <v>0.003</v>
      </c>
      <c r="F52" s="40"/>
      <c r="G52" s="16"/>
      <c r="H52" s="39"/>
      <c r="I52" s="39"/>
      <c r="J52" s="39"/>
      <c r="K52" s="39"/>
      <c r="L52" s="39"/>
      <c r="M52" s="39"/>
      <c r="N52" s="39"/>
      <c r="O52" s="39"/>
      <c r="P52" s="39"/>
      <c r="Q52" s="39"/>
      <c r="R52" s="16"/>
      <c r="S52" s="16"/>
      <c r="T52" s="16"/>
      <c r="U52" s="16"/>
      <c r="V52" s="16"/>
      <c r="W52" s="16"/>
      <c r="X52" s="16"/>
      <c r="Y52" s="16"/>
      <c r="Z52" s="16"/>
      <c r="AA52" s="16"/>
      <c r="AB52" s="16"/>
    </row>
    <row r="53" spans="2:28" ht="12.75">
      <c r="B53" s="23" t="s">
        <v>452</v>
      </c>
      <c r="C53" s="40"/>
      <c r="D53" s="40"/>
      <c r="E53" s="40">
        <v>0</v>
      </c>
      <c r="F53" s="40">
        <v>0</v>
      </c>
      <c r="G53" s="16"/>
      <c r="H53" s="39"/>
      <c r="I53" s="39"/>
      <c r="J53" s="39"/>
      <c r="K53" s="39"/>
      <c r="L53" s="39"/>
      <c r="M53" s="39"/>
      <c r="N53" s="39"/>
      <c r="O53" s="39"/>
      <c r="P53" s="39"/>
      <c r="Q53" s="39"/>
      <c r="R53" s="16"/>
      <c r="S53" s="16"/>
      <c r="T53" s="16"/>
      <c r="U53" s="16"/>
      <c r="V53" s="16"/>
      <c r="W53" s="16"/>
      <c r="X53" s="16"/>
      <c r="Y53" s="16"/>
      <c r="Z53" s="16"/>
      <c r="AA53" s="16"/>
      <c r="AB53" s="16"/>
    </row>
    <row r="54" spans="2:28" ht="12.75">
      <c r="B54" s="23" t="s">
        <v>453</v>
      </c>
      <c r="C54" s="40"/>
      <c r="D54" s="40"/>
      <c r="E54" s="40"/>
      <c r="F54" s="40">
        <v>0</v>
      </c>
      <c r="G54" s="16"/>
      <c r="H54" s="39"/>
      <c r="I54" s="39"/>
      <c r="J54" s="39"/>
      <c r="K54" s="39"/>
      <c r="L54" s="39"/>
      <c r="M54" s="39"/>
      <c r="N54" s="39"/>
      <c r="O54" s="39"/>
      <c r="P54" s="39"/>
      <c r="Q54" s="39"/>
      <c r="R54" s="16"/>
      <c r="S54" s="16"/>
      <c r="T54" s="16"/>
      <c r="U54" s="16"/>
      <c r="V54" s="16"/>
      <c r="W54" s="16"/>
      <c r="X54" s="16"/>
      <c r="Y54" s="16"/>
      <c r="Z54" s="16"/>
      <c r="AA54" s="16"/>
      <c r="AB54" s="16"/>
    </row>
    <row r="55" spans="2:28" ht="12.75">
      <c r="B55" s="23" t="s">
        <v>454</v>
      </c>
      <c r="C55" s="40"/>
      <c r="D55" s="40"/>
      <c r="E55" s="40"/>
      <c r="F55" s="40">
        <v>0.045</v>
      </c>
      <c r="G55" s="16"/>
      <c r="H55" s="39"/>
      <c r="I55" s="39"/>
      <c r="J55" s="39"/>
      <c r="K55" s="39"/>
      <c r="L55" s="39"/>
      <c r="M55" s="39"/>
      <c r="N55" s="39"/>
      <c r="O55" s="39"/>
      <c r="P55" s="39"/>
      <c r="Q55" s="39"/>
      <c r="R55" s="16"/>
      <c r="S55" s="16"/>
      <c r="T55" s="16"/>
      <c r="U55" s="16"/>
      <c r="V55" s="16"/>
      <c r="W55" s="16"/>
      <c r="X55" s="16"/>
      <c r="Y55" s="16"/>
      <c r="Z55" s="16"/>
      <c r="AA55" s="16"/>
      <c r="AB55" s="16"/>
    </row>
    <row r="56" spans="2:28" ht="12.75">
      <c r="B56" s="28" t="s">
        <v>455</v>
      </c>
      <c r="C56" s="44">
        <v>0.036</v>
      </c>
      <c r="D56" s="44">
        <v>0.002</v>
      </c>
      <c r="E56" s="44">
        <v>0.001</v>
      </c>
      <c r="F56" s="44">
        <v>0.003</v>
      </c>
      <c r="G56" s="16"/>
      <c r="H56" s="39"/>
      <c r="I56" s="39"/>
      <c r="J56" s="39"/>
      <c r="K56" s="39"/>
      <c r="L56" s="39"/>
      <c r="M56" s="39"/>
      <c r="N56" s="39"/>
      <c r="O56" s="39"/>
      <c r="P56" s="39"/>
      <c r="Q56" s="39"/>
      <c r="R56" s="16"/>
      <c r="S56" s="16"/>
      <c r="T56" s="16"/>
      <c r="U56" s="16"/>
      <c r="V56" s="16"/>
      <c r="W56" s="16"/>
      <c r="X56" s="16"/>
      <c r="Y56" s="16"/>
      <c r="Z56" s="16"/>
      <c r="AA56" s="16"/>
      <c r="AB56" s="16"/>
    </row>
    <row r="57" spans="2:28" ht="13.5" thickBot="1">
      <c r="B57" s="23"/>
      <c r="C57" s="41"/>
      <c r="D57" s="41"/>
      <c r="E57" s="41"/>
      <c r="F57" s="18"/>
      <c r="G57" s="16"/>
      <c r="H57" s="39"/>
      <c r="I57" s="39"/>
      <c r="J57" s="39"/>
      <c r="K57" s="39"/>
      <c r="L57" s="39"/>
      <c r="M57" s="39"/>
      <c r="N57" s="39"/>
      <c r="O57" s="39"/>
      <c r="P57" s="39"/>
      <c r="Q57" s="39"/>
      <c r="R57" s="16"/>
      <c r="S57" s="16"/>
      <c r="T57" s="16"/>
      <c r="U57" s="16"/>
      <c r="V57" s="16"/>
      <c r="W57" s="16"/>
      <c r="X57" s="16"/>
      <c r="Y57" s="16"/>
      <c r="Z57" s="16"/>
      <c r="AA57" s="16"/>
      <c r="AB57" s="16"/>
    </row>
    <row r="58" spans="2:28" ht="13.5" thickBot="1">
      <c r="B58" s="555" t="s">
        <v>456</v>
      </c>
      <c r="C58" s="556"/>
      <c r="D58" s="556"/>
      <c r="E58" s="556"/>
      <c r="F58" s="557"/>
      <c r="G58" s="16"/>
      <c r="H58" s="39"/>
      <c r="I58" s="39"/>
      <c r="J58" s="39"/>
      <c r="K58" s="39"/>
      <c r="L58" s="39"/>
      <c r="M58" s="39"/>
      <c r="N58" s="39"/>
      <c r="O58" s="39"/>
      <c r="P58" s="39"/>
      <c r="Q58" s="39"/>
      <c r="R58" s="16"/>
      <c r="S58" s="16"/>
      <c r="T58" s="16"/>
      <c r="U58" s="16"/>
      <c r="V58" s="16"/>
      <c r="W58" s="16"/>
      <c r="X58" s="16"/>
      <c r="Y58" s="16"/>
      <c r="Z58" s="16"/>
      <c r="AA58" s="16"/>
      <c r="AB58" s="16"/>
    </row>
    <row r="59" spans="2:28" ht="25.5">
      <c r="B59" s="24" t="s">
        <v>411</v>
      </c>
      <c r="C59" s="38" t="s">
        <v>384</v>
      </c>
      <c r="D59" s="38" t="s">
        <v>381</v>
      </c>
      <c r="E59" s="38" t="s">
        <v>400</v>
      </c>
      <c r="F59" s="38" t="s">
        <v>412</v>
      </c>
      <c r="G59" s="16"/>
      <c r="H59" s="39"/>
      <c r="I59" s="39"/>
      <c r="J59" s="39"/>
      <c r="K59" s="39"/>
      <c r="L59" s="39"/>
      <c r="M59" s="39"/>
      <c r="N59" s="39"/>
      <c r="O59" s="39"/>
      <c r="P59" s="39"/>
      <c r="Q59" s="39"/>
      <c r="R59" s="16"/>
      <c r="S59" s="16"/>
      <c r="T59" s="16"/>
      <c r="U59" s="16"/>
      <c r="V59" s="16"/>
      <c r="W59" s="16"/>
      <c r="X59" s="16"/>
      <c r="Y59" s="16"/>
      <c r="Z59" s="16"/>
      <c r="AA59" s="16"/>
      <c r="AB59" s="16"/>
    </row>
    <row r="60" spans="2:28" ht="12.75">
      <c r="B60" s="41" t="s">
        <v>457</v>
      </c>
      <c r="C60" s="40"/>
      <c r="D60" s="40">
        <v>0.023</v>
      </c>
      <c r="E60" s="40"/>
      <c r="F60" s="40">
        <v>0.3</v>
      </c>
      <c r="G60" s="16"/>
      <c r="H60" s="39"/>
      <c r="I60" s="39"/>
      <c r="J60" s="39"/>
      <c r="K60" s="39"/>
      <c r="L60" s="39"/>
      <c r="M60" s="39"/>
      <c r="N60" s="39"/>
      <c r="O60" s="39"/>
      <c r="P60" s="39"/>
      <c r="Q60" s="39"/>
      <c r="R60" s="16"/>
      <c r="S60" s="16"/>
      <c r="T60" s="16"/>
      <c r="U60" s="16"/>
      <c r="V60" s="16"/>
      <c r="W60" s="16"/>
      <c r="X60" s="16"/>
      <c r="Y60" s="16"/>
      <c r="Z60" s="16"/>
      <c r="AA60" s="16"/>
      <c r="AB60" s="16"/>
    </row>
    <row r="61" spans="2:28" ht="12.75">
      <c r="B61" s="41" t="s">
        <v>458</v>
      </c>
      <c r="C61" s="40"/>
      <c r="D61" s="40">
        <v>0.063</v>
      </c>
      <c r="E61" s="40">
        <v>0.075</v>
      </c>
      <c r="F61" s="40">
        <v>0.071</v>
      </c>
      <c r="G61" s="16"/>
      <c r="H61" s="39"/>
      <c r="I61" s="39"/>
      <c r="J61" s="39"/>
      <c r="K61" s="39"/>
      <c r="L61" s="39"/>
      <c r="M61" s="39"/>
      <c r="N61" s="39"/>
      <c r="O61" s="39"/>
      <c r="P61" s="39"/>
      <c r="Q61" s="39"/>
      <c r="R61" s="16"/>
      <c r="S61" s="16"/>
      <c r="T61" s="16"/>
      <c r="U61" s="16"/>
      <c r="V61" s="16"/>
      <c r="W61" s="16"/>
      <c r="X61" s="16"/>
      <c r="Y61" s="16"/>
      <c r="Z61" s="16"/>
      <c r="AA61" s="16"/>
      <c r="AB61" s="16"/>
    </row>
    <row r="62" spans="2:28" ht="12.75">
      <c r="B62" s="41" t="s">
        <v>459</v>
      </c>
      <c r="C62" s="40">
        <v>0.004</v>
      </c>
      <c r="D62" s="40">
        <v>0.688</v>
      </c>
      <c r="E62" s="40"/>
      <c r="F62" s="40">
        <v>0.001</v>
      </c>
      <c r="G62" s="16"/>
      <c r="H62" s="39"/>
      <c r="I62" s="39"/>
      <c r="J62" s="39"/>
      <c r="K62" s="39"/>
      <c r="L62" s="39"/>
      <c r="M62" s="39"/>
      <c r="N62" s="39"/>
      <c r="O62" s="39"/>
      <c r="P62" s="39"/>
      <c r="Q62" s="39"/>
      <c r="R62" s="16"/>
      <c r="S62" s="16"/>
      <c r="T62" s="16"/>
      <c r="U62" s="16"/>
      <c r="V62" s="16"/>
      <c r="W62" s="16"/>
      <c r="X62" s="16"/>
      <c r="Y62" s="16"/>
      <c r="Z62" s="16"/>
      <c r="AA62" s="16"/>
      <c r="AB62" s="16"/>
    </row>
    <row r="63" spans="2:28" ht="12.75">
      <c r="B63" s="41" t="s">
        <v>460</v>
      </c>
      <c r="C63" s="40"/>
      <c r="D63" s="40">
        <v>0.028</v>
      </c>
      <c r="E63" s="40"/>
      <c r="F63" s="40"/>
      <c r="G63" s="16"/>
      <c r="H63" s="39"/>
      <c r="I63" s="39"/>
      <c r="J63" s="39"/>
      <c r="K63" s="39"/>
      <c r="L63" s="39"/>
      <c r="M63" s="39"/>
      <c r="N63" s="39"/>
      <c r="O63" s="39"/>
      <c r="P63" s="39"/>
      <c r="Q63" s="39"/>
      <c r="R63" s="16"/>
      <c r="S63" s="16"/>
      <c r="T63" s="16"/>
      <c r="U63" s="16"/>
      <c r="V63" s="16"/>
      <c r="W63" s="16"/>
      <c r="X63" s="16"/>
      <c r="Y63" s="16"/>
      <c r="Z63" s="16"/>
      <c r="AA63" s="16"/>
      <c r="AB63" s="16"/>
    </row>
    <row r="64" spans="2:28" ht="12.75">
      <c r="B64" s="41" t="s">
        <v>461</v>
      </c>
      <c r="C64" s="40">
        <v>0.103</v>
      </c>
      <c r="D64" s="40">
        <v>0.007</v>
      </c>
      <c r="E64" s="40"/>
      <c r="F64" s="40">
        <v>0.001</v>
      </c>
      <c r="G64" s="16"/>
      <c r="H64" s="39"/>
      <c r="I64" s="39"/>
      <c r="J64" s="39"/>
      <c r="K64" s="39"/>
      <c r="L64" s="39"/>
      <c r="M64" s="39"/>
      <c r="N64" s="39"/>
      <c r="O64" s="39"/>
      <c r="P64" s="39"/>
      <c r="Q64" s="39"/>
      <c r="R64" s="16"/>
      <c r="S64" s="16"/>
      <c r="T64" s="16"/>
      <c r="U64" s="16"/>
      <c r="V64" s="16"/>
      <c r="W64" s="16"/>
      <c r="X64" s="16"/>
      <c r="Y64" s="16"/>
      <c r="Z64" s="16"/>
      <c r="AA64" s="16"/>
      <c r="AB64" s="16"/>
    </row>
    <row r="65" spans="2:28" ht="12.75">
      <c r="B65" s="41" t="s">
        <v>462</v>
      </c>
      <c r="C65" s="40"/>
      <c r="D65" s="40">
        <v>0.014</v>
      </c>
      <c r="E65" s="40"/>
      <c r="F65" s="40"/>
      <c r="G65" s="16"/>
      <c r="H65" s="39"/>
      <c r="I65" s="39"/>
      <c r="J65" s="39"/>
      <c r="K65" s="39"/>
      <c r="L65" s="39"/>
      <c r="M65" s="39"/>
      <c r="N65" s="39"/>
      <c r="O65" s="39"/>
      <c r="P65" s="39"/>
      <c r="Q65" s="39"/>
      <c r="R65" s="16"/>
      <c r="S65" s="16"/>
      <c r="T65" s="16"/>
      <c r="U65" s="16"/>
      <c r="V65" s="16"/>
      <c r="W65" s="16"/>
      <c r="X65" s="16"/>
      <c r="Y65" s="16"/>
      <c r="Z65" s="16"/>
      <c r="AA65" s="16"/>
      <c r="AB65" s="16"/>
    </row>
    <row r="66" spans="2:28" ht="12.75">
      <c r="B66" s="41" t="s">
        <v>463</v>
      </c>
      <c r="C66" s="40"/>
      <c r="D66" s="40"/>
      <c r="E66" s="40"/>
      <c r="F66" s="40">
        <v>0.001</v>
      </c>
      <c r="G66" s="16"/>
      <c r="H66" s="39"/>
      <c r="I66" s="39"/>
      <c r="J66" s="39"/>
      <c r="K66" s="39"/>
      <c r="L66" s="39"/>
      <c r="M66" s="39"/>
      <c r="N66" s="39"/>
      <c r="O66" s="39"/>
      <c r="P66" s="39"/>
      <c r="Q66" s="39"/>
      <c r="R66" s="16"/>
      <c r="S66" s="16"/>
      <c r="T66" s="16"/>
      <c r="U66" s="16"/>
      <c r="V66" s="16"/>
      <c r="W66" s="16"/>
      <c r="X66" s="16"/>
      <c r="Y66" s="16"/>
      <c r="Z66" s="16"/>
      <c r="AA66" s="16"/>
      <c r="AB66" s="16"/>
    </row>
    <row r="67" spans="2:28" ht="12.75">
      <c r="B67" s="41" t="s">
        <v>464</v>
      </c>
      <c r="C67" s="40"/>
      <c r="D67" s="40"/>
      <c r="E67" s="40">
        <v>0</v>
      </c>
      <c r="F67" s="40">
        <v>0</v>
      </c>
      <c r="G67" s="16"/>
      <c r="H67" s="39"/>
      <c r="I67" s="39"/>
      <c r="J67" s="39"/>
      <c r="K67" s="39"/>
      <c r="L67" s="39"/>
      <c r="M67" s="39"/>
      <c r="N67" s="39"/>
      <c r="O67" s="39"/>
      <c r="P67" s="39"/>
      <c r="Q67" s="39"/>
      <c r="R67" s="16"/>
      <c r="S67" s="16"/>
      <c r="T67" s="16"/>
      <c r="U67" s="16"/>
      <c r="V67" s="16"/>
      <c r="W67" s="16"/>
      <c r="X67" s="16"/>
      <c r="Y67" s="16"/>
      <c r="Z67" s="16"/>
      <c r="AA67" s="16"/>
      <c r="AB67" s="16"/>
    </row>
    <row r="68" spans="2:28" ht="12.75">
      <c r="B68" s="41" t="s">
        <v>465</v>
      </c>
      <c r="C68" s="40">
        <v>0.054</v>
      </c>
      <c r="D68" s="40">
        <v>0.11</v>
      </c>
      <c r="E68" s="40"/>
      <c r="F68" s="40"/>
      <c r="G68" s="16"/>
      <c r="H68" s="39"/>
      <c r="I68" s="39"/>
      <c r="J68" s="39"/>
      <c r="K68" s="39"/>
      <c r="L68" s="39"/>
      <c r="M68" s="39"/>
      <c r="N68" s="39"/>
      <c r="O68" s="39"/>
      <c r="P68" s="39"/>
      <c r="Q68" s="39"/>
      <c r="R68" s="16"/>
      <c r="S68" s="16"/>
      <c r="T68" s="16"/>
      <c r="U68" s="16"/>
      <c r="V68" s="16"/>
      <c r="W68" s="16"/>
      <c r="X68" s="16"/>
      <c r="Y68" s="16"/>
      <c r="Z68" s="16"/>
      <c r="AA68" s="16"/>
      <c r="AB68" s="16"/>
    </row>
    <row r="69" spans="2:28" ht="12.75">
      <c r="B69" s="41" t="s">
        <v>466</v>
      </c>
      <c r="C69" s="43" t="s">
        <v>60</v>
      </c>
      <c r="D69" s="40">
        <v>0.459</v>
      </c>
      <c r="E69" s="40">
        <v>0.013</v>
      </c>
      <c r="F69" s="40"/>
      <c r="G69" s="16"/>
      <c r="H69" s="39"/>
      <c r="I69" s="39"/>
      <c r="J69" s="39"/>
      <c r="K69" s="39"/>
      <c r="L69" s="39"/>
      <c r="M69" s="39"/>
      <c r="N69" s="39"/>
      <c r="O69" s="39"/>
      <c r="P69" s="39"/>
      <c r="Q69" s="39"/>
      <c r="R69" s="16"/>
      <c r="S69" s="16"/>
      <c r="T69" s="16"/>
      <c r="U69" s="16"/>
      <c r="V69" s="16"/>
      <c r="W69" s="16"/>
      <c r="X69" s="16"/>
      <c r="Y69" s="16"/>
      <c r="Z69" s="16"/>
      <c r="AA69" s="16"/>
      <c r="AB69" s="16"/>
    </row>
    <row r="70" spans="2:28" ht="12.75">
      <c r="B70" s="41" t="s">
        <v>467</v>
      </c>
      <c r="C70" s="40"/>
      <c r="D70" s="40"/>
      <c r="E70" s="40"/>
      <c r="F70" s="40">
        <v>0.018</v>
      </c>
      <c r="G70" s="16"/>
      <c r="H70" s="39"/>
      <c r="I70" s="39"/>
      <c r="J70" s="39"/>
      <c r="K70" s="39"/>
      <c r="L70" s="39"/>
      <c r="M70" s="39"/>
      <c r="N70" s="39"/>
      <c r="O70" s="39"/>
      <c r="P70" s="39"/>
      <c r="Q70" s="39"/>
      <c r="R70" s="16"/>
      <c r="S70" s="16"/>
      <c r="T70" s="16"/>
      <c r="U70" s="16"/>
      <c r="V70" s="16"/>
      <c r="W70" s="16"/>
      <c r="X70" s="16"/>
      <c r="Y70" s="16"/>
      <c r="Z70" s="16"/>
      <c r="AA70" s="16"/>
      <c r="AB70" s="16"/>
    </row>
    <row r="71" spans="2:28" ht="12.75">
      <c r="B71" s="41" t="s">
        <v>468</v>
      </c>
      <c r="C71" s="40"/>
      <c r="D71" s="40">
        <v>0.65</v>
      </c>
      <c r="E71" s="40">
        <v>0.153</v>
      </c>
      <c r="F71" s="40"/>
      <c r="G71" s="16"/>
      <c r="H71" s="39"/>
      <c r="I71" s="39"/>
      <c r="J71" s="39"/>
      <c r="K71" s="39"/>
      <c r="L71" s="39"/>
      <c r="M71" s="39"/>
      <c r="N71" s="39"/>
      <c r="O71" s="39"/>
      <c r="P71" s="39"/>
      <c r="Q71" s="39"/>
      <c r="R71" s="16"/>
      <c r="S71" s="16"/>
      <c r="T71" s="16"/>
      <c r="U71" s="16"/>
      <c r="V71" s="16"/>
      <c r="W71" s="16"/>
      <c r="X71" s="16"/>
      <c r="Y71" s="16"/>
      <c r="Z71" s="16"/>
      <c r="AA71" s="16"/>
      <c r="AB71" s="16"/>
    </row>
    <row r="72" spans="2:28" ht="12.75">
      <c r="B72" s="41" t="s">
        <v>469</v>
      </c>
      <c r="C72" s="43" t="s">
        <v>63</v>
      </c>
      <c r="D72" s="40"/>
      <c r="E72" s="40">
        <v>0.001</v>
      </c>
      <c r="F72" s="40"/>
      <c r="G72" s="16"/>
      <c r="H72" s="39"/>
      <c r="I72" s="39"/>
      <c r="J72" s="39"/>
      <c r="K72" s="39"/>
      <c r="L72" s="39"/>
      <c r="M72" s="39"/>
      <c r="N72" s="39"/>
      <c r="O72" s="39"/>
      <c r="P72" s="39"/>
      <c r="Q72" s="39"/>
      <c r="R72" s="16"/>
      <c r="S72" s="16"/>
      <c r="T72" s="16"/>
      <c r="U72" s="16"/>
      <c r="V72" s="16"/>
      <c r="W72" s="16"/>
      <c r="X72" s="16"/>
      <c r="Y72" s="16"/>
      <c r="Z72" s="16"/>
      <c r="AA72" s="16"/>
      <c r="AB72" s="16"/>
    </row>
    <row r="73" spans="2:28" ht="12.75">
      <c r="B73" s="41" t="s">
        <v>470</v>
      </c>
      <c r="C73" s="40">
        <v>0.035</v>
      </c>
      <c r="D73" s="40">
        <v>0.026</v>
      </c>
      <c r="E73" s="40"/>
      <c r="F73" s="40">
        <v>0.014</v>
      </c>
      <c r="G73" s="16"/>
      <c r="H73" s="39"/>
      <c r="I73" s="39"/>
      <c r="J73" s="39"/>
      <c r="K73" s="39"/>
      <c r="L73" s="39"/>
      <c r="M73" s="39"/>
      <c r="N73" s="39"/>
      <c r="O73" s="39"/>
      <c r="P73" s="39"/>
      <c r="Q73" s="39"/>
      <c r="R73" s="16"/>
      <c r="S73" s="16"/>
      <c r="T73" s="16"/>
      <c r="U73" s="16"/>
      <c r="V73" s="16"/>
      <c r="W73" s="16"/>
      <c r="X73" s="16"/>
      <c r="Y73" s="16"/>
      <c r="Z73" s="16"/>
      <c r="AA73" s="16"/>
      <c r="AB73" s="16"/>
    </row>
    <row r="74" spans="2:28" ht="12.75">
      <c r="B74" s="45" t="s">
        <v>471</v>
      </c>
      <c r="C74" s="44">
        <v>0.001</v>
      </c>
      <c r="D74" s="44">
        <v>0.65</v>
      </c>
      <c r="E74" s="44">
        <v>0.025</v>
      </c>
      <c r="F74" s="44">
        <v>0.024</v>
      </c>
      <c r="G74" s="16"/>
      <c r="H74" s="39"/>
      <c r="I74" s="39"/>
      <c r="J74" s="39"/>
      <c r="K74" s="39"/>
      <c r="L74" s="39"/>
      <c r="M74" s="39"/>
      <c r="N74" s="39"/>
      <c r="O74" s="39"/>
      <c r="P74" s="39"/>
      <c r="Q74" s="39"/>
      <c r="R74" s="16"/>
      <c r="S74" s="16"/>
      <c r="T74" s="16"/>
      <c r="U74" s="16"/>
      <c r="V74" s="16"/>
      <c r="W74" s="16"/>
      <c r="X74" s="16"/>
      <c r="Y74" s="16"/>
      <c r="Z74" s="16"/>
      <c r="AA74" s="16"/>
      <c r="AB74" s="16"/>
    </row>
    <row r="75" spans="3:28" ht="12.75">
      <c r="C75" s="16"/>
      <c r="D75" s="16"/>
      <c r="E75" s="16"/>
      <c r="F75" s="16"/>
      <c r="G75" s="16"/>
      <c r="H75" s="39"/>
      <c r="I75" s="39"/>
      <c r="J75" s="39"/>
      <c r="K75" s="39"/>
      <c r="L75" s="39"/>
      <c r="M75" s="39"/>
      <c r="N75" s="39"/>
      <c r="O75" s="39"/>
      <c r="P75" s="39"/>
      <c r="Q75" s="39"/>
      <c r="R75" s="16"/>
      <c r="S75" s="16"/>
      <c r="T75" s="16"/>
      <c r="U75" s="16"/>
      <c r="V75" s="16"/>
      <c r="W75" s="16"/>
      <c r="X75" s="16"/>
      <c r="Y75" s="16"/>
      <c r="Z75" s="16"/>
      <c r="AA75" s="16"/>
      <c r="AB75" s="16"/>
    </row>
    <row r="76" spans="3:28" ht="12.75">
      <c r="C76" s="16"/>
      <c r="D76" s="16"/>
      <c r="E76" s="16"/>
      <c r="F76" s="16"/>
      <c r="G76" s="16"/>
      <c r="H76" s="39"/>
      <c r="I76" s="39"/>
      <c r="J76" s="39"/>
      <c r="K76" s="39"/>
      <c r="L76" s="39"/>
      <c r="M76" s="39"/>
      <c r="N76" s="39"/>
      <c r="O76" s="39"/>
      <c r="P76" s="39"/>
      <c r="Q76" s="39"/>
      <c r="R76" s="16"/>
      <c r="S76" s="16"/>
      <c r="T76" s="16"/>
      <c r="U76" s="16"/>
      <c r="V76" s="16"/>
      <c r="W76" s="16"/>
      <c r="X76" s="16"/>
      <c r="Y76" s="16"/>
      <c r="Z76" s="16"/>
      <c r="AA76" s="16"/>
      <c r="AB76" s="16"/>
    </row>
    <row r="77" spans="3:28" ht="12.75">
      <c r="C77" s="16"/>
      <c r="D77" s="16"/>
      <c r="E77" s="16"/>
      <c r="F77" s="16"/>
      <c r="G77" s="16"/>
      <c r="H77" s="39"/>
      <c r="I77" s="39"/>
      <c r="J77" s="39"/>
      <c r="K77" s="39"/>
      <c r="L77" s="39"/>
      <c r="M77" s="39"/>
      <c r="N77" s="39"/>
      <c r="O77" s="39"/>
      <c r="P77" s="39"/>
      <c r="Q77" s="39"/>
      <c r="R77" s="16"/>
      <c r="S77" s="16"/>
      <c r="T77" s="16"/>
      <c r="U77" s="16"/>
      <c r="V77" s="16"/>
      <c r="W77" s="16"/>
      <c r="X77" s="16"/>
      <c r="Y77" s="16"/>
      <c r="Z77" s="16"/>
      <c r="AA77" s="16"/>
      <c r="AB77" s="16"/>
    </row>
    <row r="78" spans="3:28" ht="12.75">
      <c r="C78" s="16"/>
      <c r="D78" s="16"/>
      <c r="E78" s="16"/>
      <c r="F78" s="16"/>
      <c r="G78" s="16"/>
      <c r="H78" s="39"/>
      <c r="I78" s="39"/>
      <c r="J78" s="39"/>
      <c r="K78" s="39"/>
      <c r="L78" s="39"/>
      <c r="M78" s="39"/>
      <c r="N78" s="39"/>
      <c r="O78" s="39"/>
      <c r="P78" s="39"/>
      <c r="Q78" s="39"/>
      <c r="R78" s="16"/>
      <c r="S78" s="16"/>
      <c r="T78" s="16"/>
      <c r="U78" s="16"/>
      <c r="V78" s="16"/>
      <c r="W78" s="16"/>
      <c r="X78" s="16"/>
      <c r="Y78" s="16"/>
      <c r="Z78" s="16"/>
      <c r="AA78" s="16"/>
      <c r="AB78" s="16"/>
    </row>
    <row r="79" spans="3:28" ht="12.75">
      <c r="C79" s="16"/>
      <c r="D79" s="16"/>
      <c r="E79" s="16"/>
      <c r="F79" s="16"/>
      <c r="G79" s="16"/>
      <c r="H79" s="39"/>
      <c r="I79" s="39"/>
      <c r="J79" s="39"/>
      <c r="K79" s="39"/>
      <c r="L79" s="39"/>
      <c r="M79" s="39"/>
      <c r="N79" s="39"/>
      <c r="O79" s="39"/>
      <c r="P79" s="39"/>
      <c r="Q79" s="39"/>
      <c r="R79" s="16"/>
      <c r="S79" s="16"/>
      <c r="T79" s="16"/>
      <c r="U79" s="16"/>
      <c r="V79" s="16"/>
      <c r="W79" s="16"/>
      <c r="X79" s="16"/>
      <c r="Y79" s="16"/>
      <c r="Z79" s="16"/>
      <c r="AA79" s="16"/>
      <c r="AB79" s="16"/>
    </row>
    <row r="80" spans="3:28" ht="12.75">
      <c r="C80" s="16"/>
      <c r="D80" s="16"/>
      <c r="E80" s="16"/>
      <c r="F80" s="16"/>
      <c r="G80" s="16"/>
      <c r="H80" s="39"/>
      <c r="I80" s="39"/>
      <c r="J80" s="39"/>
      <c r="K80" s="39"/>
      <c r="L80" s="39"/>
      <c r="M80" s="39"/>
      <c r="N80" s="39"/>
      <c r="O80" s="39"/>
      <c r="P80" s="39"/>
      <c r="Q80" s="39"/>
      <c r="R80" s="16"/>
      <c r="S80" s="16"/>
      <c r="T80" s="16"/>
      <c r="U80" s="16"/>
      <c r="V80" s="16"/>
      <c r="W80" s="16"/>
      <c r="X80" s="16"/>
      <c r="Y80" s="16"/>
      <c r="Z80" s="16"/>
      <c r="AA80" s="16"/>
      <c r="AB80" s="16"/>
    </row>
    <row r="81" spans="3:28" ht="12.75">
      <c r="C81" s="16"/>
      <c r="D81" s="16"/>
      <c r="E81" s="16"/>
      <c r="F81" s="16"/>
      <c r="G81" s="16"/>
      <c r="H81" s="39"/>
      <c r="I81" s="39"/>
      <c r="J81" s="39"/>
      <c r="K81" s="39"/>
      <c r="L81" s="39"/>
      <c r="M81" s="39"/>
      <c r="N81" s="39"/>
      <c r="O81" s="39"/>
      <c r="P81" s="39"/>
      <c r="Q81" s="39"/>
      <c r="R81" s="16"/>
      <c r="S81" s="16"/>
      <c r="T81" s="16"/>
      <c r="U81" s="16"/>
      <c r="V81" s="16"/>
      <c r="W81" s="16"/>
      <c r="X81" s="16"/>
      <c r="Y81" s="16"/>
      <c r="Z81" s="16"/>
      <c r="AA81" s="16"/>
      <c r="AB81" s="16"/>
    </row>
    <row r="82" spans="3:28" ht="12.75">
      <c r="C82" s="16"/>
      <c r="D82" s="16"/>
      <c r="E82" s="16"/>
      <c r="F82" s="16"/>
      <c r="G82" s="16"/>
      <c r="H82" s="39"/>
      <c r="I82" s="39"/>
      <c r="J82" s="39"/>
      <c r="K82" s="39"/>
      <c r="L82" s="39"/>
      <c r="M82" s="39"/>
      <c r="N82" s="39"/>
      <c r="O82" s="39"/>
      <c r="P82" s="39"/>
      <c r="Q82" s="39"/>
      <c r="R82" s="16"/>
      <c r="S82" s="16"/>
      <c r="T82" s="16"/>
      <c r="U82" s="16"/>
      <c r="V82" s="16"/>
      <c r="W82" s="16"/>
      <c r="X82" s="16"/>
      <c r="Y82" s="16"/>
      <c r="Z82" s="16"/>
      <c r="AA82" s="16"/>
      <c r="AB82" s="16"/>
    </row>
    <row r="83" spans="3:28" ht="12.75">
      <c r="C83" s="16"/>
      <c r="D83" s="16"/>
      <c r="E83" s="16"/>
      <c r="F83" s="16"/>
      <c r="G83" s="16"/>
      <c r="H83" s="39"/>
      <c r="I83" s="39"/>
      <c r="J83" s="39"/>
      <c r="K83" s="39"/>
      <c r="L83" s="39"/>
      <c r="M83" s="39"/>
      <c r="N83" s="39"/>
      <c r="O83" s="39"/>
      <c r="P83" s="39"/>
      <c r="Q83" s="39"/>
      <c r="R83" s="16"/>
      <c r="S83" s="16"/>
      <c r="T83" s="16"/>
      <c r="U83" s="16"/>
      <c r="V83" s="16"/>
      <c r="W83" s="16"/>
      <c r="X83" s="16"/>
      <c r="Y83" s="16"/>
      <c r="Z83" s="16"/>
      <c r="AA83" s="16"/>
      <c r="AB83" s="16"/>
    </row>
    <row r="84" spans="3:28" ht="12.75">
      <c r="C84" s="16"/>
      <c r="D84" s="16"/>
      <c r="E84" s="16"/>
      <c r="F84" s="16"/>
      <c r="G84" s="16"/>
      <c r="H84" s="39"/>
      <c r="I84" s="39"/>
      <c r="J84" s="39"/>
      <c r="K84" s="39"/>
      <c r="L84" s="39"/>
      <c r="M84" s="39"/>
      <c r="N84" s="39"/>
      <c r="O84" s="39"/>
      <c r="P84" s="39"/>
      <c r="Q84" s="39"/>
      <c r="R84" s="16"/>
      <c r="S84" s="16"/>
      <c r="T84" s="16"/>
      <c r="U84" s="16"/>
      <c r="V84" s="16"/>
      <c r="W84" s="16"/>
      <c r="X84" s="16"/>
      <c r="Y84" s="16"/>
      <c r="Z84" s="16"/>
      <c r="AA84" s="16"/>
      <c r="AB84" s="16"/>
    </row>
    <row r="85" spans="3:28" ht="12.75">
      <c r="C85" s="16"/>
      <c r="D85" s="16"/>
      <c r="E85" s="16"/>
      <c r="F85" s="16"/>
      <c r="G85" s="16"/>
      <c r="H85" s="39"/>
      <c r="I85" s="39"/>
      <c r="J85" s="39"/>
      <c r="K85" s="39"/>
      <c r="L85" s="39"/>
      <c r="M85" s="39"/>
      <c r="N85" s="39"/>
      <c r="O85" s="39"/>
      <c r="P85" s="39"/>
      <c r="Q85" s="39"/>
      <c r="R85" s="16"/>
      <c r="S85" s="16"/>
      <c r="T85" s="16"/>
      <c r="U85" s="16"/>
      <c r="V85" s="16"/>
      <c r="W85" s="16"/>
      <c r="X85" s="16"/>
      <c r="Y85" s="16"/>
      <c r="Z85" s="16"/>
      <c r="AA85" s="16"/>
      <c r="AB85" s="16"/>
    </row>
    <row r="86" spans="3:28" ht="12.75">
      <c r="C86" s="16"/>
      <c r="D86" s="16"/>
      <c r="E86" s="16"/>
      <c r="F86" s="16"/>
      <c r="G86" s="16"/>
      <c r="H86" s="39"/>
      <c r="I86" s="39"/>
      <c r="J86" s="39"/>
      <c r="K86" s="39"/>
      <c r="L86" s="39"/>
      <c r="M86" s="39"/>
      <c r="N86" s="39"/>
      <c r="O86" s="39"/>
      <c r="P86" s="39"/>
      <c r="Q86" s="39"/>
      <c r="R86" s="16"/>
      <c r="S86" s="16"/>
      <c r="T86" s="16"/>
      <c r="U86" s="16"/>
      <c r="V86" s="16"/>
      <c r="W86" s="16"/>
      <c r="X86" s="16"/>
      <c r="Y86" s="16"/>
      <c r="Z86" s="16"/>
      <c r="AA86" s="16"/>
      <c r="AB86" s="16"/>
    </row>
    <row r="87" spans="3:28" ht="12.75">
      <c r="C87" s="16"/>
      <c r="D87" s="16"/>
      <c r="E87" s="16"/>
      <c r="F87" s="16"/>
      <c r="G87" s="16"/>
      <c r="H87" s="39"/>
      <c r="I87" s="39"/>
      <c r="J87" s="39"/>
      <c r="K87" s="39"/>
      <c r="L87" s="39"/>
      <c r="M87" s="39"/>
      <c r="N87" s="39"/>
      <c r="O87" s="39"/>
      <c r="P87" s="39"/>
      <c r="Q87" s="39"/>
      <c r="R87" s="16"/>
      <c r="S87" s="16"/>
      <c r="T87" s="16"/>
      <c r="U87" s="16"/>
      <c r="V87" s="16"/>
      <c r="W87" s="16"/>
      <c r="X87" s="16"/>
      <c r="Y87" s="16"/>
      <c r="Z87" s="16"/>
      <c r="AA87" s="16"/>
      <c r="AB87" s="16"/>
    </row>
    <row r="88" spans="3:28" ht="12.75">
      <c r="C88" s="16"/>
      <c r="D88" s="16"/>
      <c r="E88" s="16"/>
      <c r="F88" s="16"/>
      <c r="G88" s="16"/>
      <c r="H88" s="39"/>
      <c r="I88" s="39"/>
      <c r="J88" s="39"/>
      <c r="K88" s="39"/>
      <c r="L88" s="39"/>
      <c r="M88" s="39"/>
      <c r="N88" s="39"/>
      <c r="O88" s="39"/>
      <c r="P88" s="39"/>
      <c r="Q88" s="39"/>
      <c r="R88" s="16"/>
      <c r="S88" s="16"/>
      <c r="T88" s="16"/>
      <c r="U88" s="16"/>
      <c r="V88" s="16"/>
      <c r="W88" s="16"/>
      <c r="X88" s="16"/>
      <c r="Y88" s="16"/>
      <c r="Z88" s="16"/>
      <c r="AA88" s="16"/>
      <c r="AB88" s="16"/>
    </row>
    <row r="89" spans="3:28" ht="12.75">
      <c r="C89" s="16"/>
      <c r="D89" s="16"/>
      <c r="E89" s="16"/>
      <c r="F89" s="16"/>
      <c r="G89" s="16"/>
      <c r="H89" s="39"/>
      <c r="I89" s="39"/>
      <c r="J89" s="39"/>
      <c r="K89" s="39"/>
      <c r="L89" s="39"/>
      <c r="M89" s="39"/>
      <c r="N89" s="39"/>
      <c r="O89" s="39"/>
      <c r="P89" s="39"/>
      <c r="Q89" s="39"/>
      <c r="R89" s="16"/>
      <c r="S89" s="16"/>
      <c r="T89" s="16"/>
      <c r="U89" s="16"/>
      <c r="V89" s="16"/>
      <c r="W89" s="16"/>
      <c r="X89" s="16"/>
      <c r="Y89" s="16"/>
      <c r="Z89" s="16"/>
      <c r="AA89" s="16"/>
      <c r="AB89" s="16"/>
    </row>
    <row r="90" spans="3:28" ht="12.75">
      <c r="C90" s="16"/>
      <c r="D90" s="16"/>
      <c r="E90" s="16"/>
      <c r="F90" s="16"/>
      <c r="G90" s="16"/>
      <c r="H90" s="39"/>
      <c r="I90" s="39"/>
      <c r="J90" s="39"/>
      <c r="K90" s="39"/>
      <c r="L90" s="39"/>
      <c r="M90" s="39"/>
      <c r="N90" s="39"/>
      <c r="O90" s="39"/>
      <c r="P90" s="39"/>
      <c r="Q90" s="39"/>
      <c r="R90" s="16"/>
      <c r="S90" s="16"/>
      <c r="T90" s="16"/>
      <c r="U90" s="16"/>
      <c r="V90" s="16"/>
      <c r="W90" s="16"/>
      <c r="X90" s="16"/>
      <c r="Y90" s="16"/>
      <c r="Z90" s="16"/>
      <c r="AA90" s="16"/>
      <c r="AB90" s="16"/>
    </row>
    <row r="91" spans="3:28" ht="12.75">
      <c r="C91" s="16"/>
      <c r="D91" s="16"/>
      <c r="E91" s="16"/>
      <c r="F91" s="16"/>
      <c r="G91" s="16"/>
      <c r="H91" s="39"/>
      <c r="I91" s="39"/>
      <c r="J91" s="39"/>
      <c r="K91" s="39"/>
      <c r="L91" s="39"/>
      <c r="M91" s="39"/>
      <c r="N91" s="39"/>
      <c r="O91" s="39"/>
      <c r="P91" s="39"/>
      <c r="Q91" s="39"/>
      <c r="R91" s="16"/>
      <c r="S91" s="16"/>
      <c r="T91" s="16"/>
      <c r="U91" s="16"/>
      <c r="V91" s="16"/>
      <c r="W91" s="16"/>
      <c r="X91" s="16"/>
      <c r="Y91" s="16"/>
      <c r="Z91" s="16"/>
      <c r="AA91" s="16"/>
      <c r="AB91" s="16"/>
    </row>
    <row r="92" spans="3:28" ht="12.75">
      <c r="C92" s="16"/>
      <c r="D92" s="16"/>
      <c r="E92" s="16"/>
      <c r="F92" s="16"/>
      <c r="G92" s="16"/>
      <c r="H92" s="39"/>
      <c r="I92" s="39"/>
      <c r="J92" s="39"/>
      <c r="K92" s="39"/>
      <c r="L92" s="39"/>
      <c r="M92" s="39"/>
      <c r="N92" s="39"/>
      <c r="O92" s="39"/>
      <c r="P92" s="39"/>
      <c r="Q92" s="39"/>
      <c r="R92" s="16"/>
      <c r="S92" s="16"/>
      <c r="T92" s="16"/>
      <c r="U92" s="16"/>
      <c r="V92" s="16"/>
      <c r="W92" s="16"/>
      <c r="X92" s="16"/>
      <c r="Y92" s="16"/>
      <c r="Z92" s="16"/>
      <c r="AA92" s="16"/>
      <c r="AB92" s="16"/>
    </row>
    <row r="93" spans="3:28" ht="12.75">
      <c r="C93" s="16"/>
      <c r="D93" s="16"/>
      <c r="E93" s="16"/>
      <c r="F93" s="16"/>
      <c r="G93" s="16"/>
      <c r="H93" s="39"/>
      <c r="I93" s="39"/>
      <c r="J93" s="39"/>
      <c r="K93" s="39"/>
      <c r="L93" s="39"/>
      <c r="M93" s="39"/>
      <c r="N93" s="39"/>
      <c r="O93" s="39"/>
      <c r="P93" s="39"/>
      <c r="Q93" s="39"/>
      <c r="R93" s="16"/>
      <c r="S93" s="16"/>
      <c r="T93" s="16"/>
      <c r="U93" s="16"/>
      <c r="V93" s="16"/>
      <c r="W93" s="16"/>
      <c r="X93" s="16"/>
      <c r="Y93" s="16"/>
      <c r="Z93" s="16"/>
      <c r="AA93" s="16"/>
      <c r="AB93" s="16"/>
    </row>
    <row r="94" spans="3:28" ht="12.75">
      <c r="C94" s="16"/>
      <c r="D94" s="16"/>
      <c r="E94" s="16"/>
      <c r="F94" s="16"/>
      <c r="G94" s="16"/>
      <c r="H94" s="39"/>
      <c r="I94" s="39"/>
      <c r="J94" s="39"/>
      <c r="K94" s="39"/>
      <c r="L94" s="39"/>
      <c r="M94" s="39"/>
      <c r="N94" s="39"/>
      <c r="O94" s="39"/>
      <c r="P94" s="39"/>
      <c r="Q94" s="39"/>
      <c r="R94" s="16"/>
      <c r="S94" s="16"/>
      <c r="T94" s="16"/>
      <c r="U94" s="16"/>
      <c r="V94" s="16"/>
      <c r="W94" s="16"/>
      <c r="X94" s="16"/>
      <c r="Y94" s="16"/>
      <c r="Z94" s="16"/>
      <c r="AA94" s="16"/>
      <c r="AB94" s="16"/>
    </row>
    <row r="95" spans="3:28" ht="12.75">
      <c r="C95" s="16"/>
      <c r="D95" s="16"/>
      <c r="E95" s="16"/>
      <c r="F95" s="16"/>
      <c r="G95" s="16"/>
      <c r="H95" s="39"/>
      <c r="I95" s="39"/>
      <c r="J95" s="39"/>
      <c r="K95" s="39"/>
      <c r="L95" s="39"/>
      <c r="M95" s="39"/>
      <c r="N95" s="39"/>
      <c r="O95" s="39"/>
      <c r="P95" s="39"/>
      <c r="Q95" s="39"/>
      <c r="R95" s="16"/>
      <c r="S95" s="16"/>
      <c r="T95" s="16"/>
      <c r="U95" s="16"/>
      <c r="V95" s="16"/>
      <c r="W95" s="16"/>
      <c r="X95" s="16"/>
      <c r="Y95" s="16"/>
      <c r="Z95" s="16"/>
      <c r="AA95" s="16"/>
      <c r="AB95" s="16"/>
    </row>
    <row r="96" spans="3:28" ht="12.75">
      <c r="C96" s="16"/>
      <c r="D96" s="16"/>
      <c r="E96" s="16"/>
      <c r="F96" s="16"/>
      <c r="G96" s="16"/>
      <c r="H96" s="39"/>
      <c r="I96" s="39"/>
      <c r="J96" s="39"/>
      <c r="K96" s="39"/>
      <c r="L96" s="39"/>
      <c r="M96" s="39"/>
      <c r="N96" s="39"/>
      <c r="O96" s="39"/>
      <c r="P96" s="39"/>
      <c r="Q96" s="39"/>
      <c r="R96" s="16"/>
      <c r="S96" s="16"/>
      <c r="T96" s="16"/>
      <c r="U96" s="16"/>
      <c r="V96" s="16"/>
      <c r="W96" s="16"/>
      <c r="X96" s="16"/>
      <c r="Y96" s="16"/>
      <c r="Z96" s="16"/>
      <c r="AA96" s="16"/>
      <c r="AB96" s="16"/>
    </row>
    <row r="97" spans="3:28" ht="12.75">
      <c r="C97" s="16"/>
      <c r="D97" s="16"/>
      <c r="E97" s="16"/>
      <c r="F97" s="16"/>
      <c r="G97" s="16"/>
      <c r="H97" s="39"/>
      <c r="I97" s="39"/>
      <c r="J97" s="39"/>
      <c r="K97" s="39"/>
      <c r="L97" s="39"/>
      <c r="M97" s="39"/>
      <c r="N97" s="39"/>
      <c r="O97" s="39"/>
      <c r="P97" s="39"/>
      <c r="Q97" s="39"/>
      <c r="R97" s="16"/>
      <c r="S97" s="16"/>
      <c r="T97" s="16"/>
      <c r="U97" s="16"/>
      <c r="V97" s="16"/>
      <c r="W97" s="16"/>
      <c r="X97" s="16"/>
      <c r="Y97" s="16"/>
      <c r="Z97" s="16"/>
      <c r="AA97" s="16"/>
      <c r="AB97" s="16"/>
    </row>
    <row r="98" spans="3:28" ht="12.75">
      <c r="C98" s="16"/>
      <c r="D98" s="16"/>
      <c r="E98" s="16"/>
      <c r="F98" s="16"/>
      <c r="G98" s="16"/>
      <c r="H98" s="39"/>
      <c r="I98" s="39"/>
      <c r="J98" s="39"/>
      <c r="K98" s="39"/>
      <c r="L98" s="39"/>
      <c r="M98" s="39"/>
      <c r="N98" s="39"/>
      <c r="O98" s="39"/>
      <c r="P98" s="39"/>
      <c r="Q98" s="39"/>
      <c r="R98" s="16"/>
      <c r="S98" s="16"/>
      <c r="T98" s="16"/>
      <c r="U98" s="16"/>
      <c r="V98" s="16"/>
      <c r="W98" s="16"/>
      <c r="X98" s="16"/>
      <c r="Y98" s="16"/>
      <c r="Z98" s="16"/>
      <c r="AA98" s="16"/>
      <c r="AB98" s="16"/>
    </row>
    <row r="99" spans="3:28" ht="12.75">
      <c r="C99" s="16"/>
      <c r="D99" s="16"/>
      <c r="E99" s="16"/>
      <c r="F99" s="16"/>
      <c r="G99" s="16"/>
      <c r="H99" s="39"/>
      <c r="I99" s="39"/>
      <c r="J99" s="39"/>
      <c r="K99" s="39"/>
      <c r="L99" s="39"/>
      <c r="M99" s="39"/>
      <c r="N99" s="39"/>
      <c r="O99" s="39"/>
      <c r="P99" s="39"/>
      <c r="Q99" s="39"/>
      <c r="R99" s="16"/>
      <c r="S99" s="16"/>
      <c r="T99" s="16"/>
      <c r="U99" s="16"/>
      <c r="V99" s="16"/>
      <c r="W99" s="16"/>
      <c r="X99" s="16"/>
      <c r="Y99" s="16"/>
      <c r="Z99" s="16"/>
      <c r="AA99" s="16"/>
      <c r="AB99" s="16"/>
    </row>
    <row r="100" spans="3:28" ht="12.75">
      <c r="C100" s="16"/>
      <c r="D100" s="16"/>
      <c r="E100" s="16"/>
      <c r="F100" s="16"/>
      <c r="G100" s="16"/>
      <c r="H100" s="39"/>
      <c r="I100" s="39"/>
      <c r="J100" s="39"/>
      <c r="K100" s="39"/>
      <c r="L100" s="39"/>
      <c r="M100" s="39"/>
      <c r="N100" s="39"/>
      <c r="O100" s="39"/>
      <c r="P100" s="39"/>
      <c r="Q100" s="39"/>
      <c r="R100" s="16"/>
      <c r="S100" s="16"/>
      <c r="T100" s="16"/>
      <c r="U100" s="16"/>
      <c r="V100" s="16"/>
      <c r="W100" s="16"/>
      <c r="X100" s="16"/>
      <c r="Y100" s="16"/>
      <c r="Z100" s="16"/>
      <c r="AA100" s="16"/>
      <c r="AB100" s="16"/>
    </row>
    <row r="101" spans="3:28" ht="12.75">
      <c r="C101" s="16"/>
      <c r="D101" s="16"/>
      <c r="E101" s="16"/>
      <c r="F101" s="16"/>
      <c r="G101" s="16"/>
      <c r="H101" s="39"/>
      <c r="I101" s="39"/>
      <c r="J101" s="39"/>
      <c r="K101" s="39"/>
      <c r="L101" s="39"/>
      <c r="M101" s="39"/>
      <c r="N101" s="39"/>
      <c r="O101" s="39"/>
      <c r="P101" s="39"/>
      <c r="Q101" s="39"/>
      <c r="R101" s="16"/>
      <c r="S101" s="16"/>
      <c r="T101" s="16"/>
      <c r="U101" s="16"/>
      <c r="V101" s="16"/>
      <c r="W101" s="16"/>
      <c r="X101" s="16"/>
      <c r="Y101" s="16"/>
      <c r="Z101" s="16"/>
      <c r="AA101" s="16"/>
      <c r="AB101" s="16"/>
    </row>
    <row r="102" spans="3:28" ht="12.75">
      <c r="C102" s="16"/>
      <c r="D102" s="16"/>
      <c r="E102" s="16"/>
      <c r="F102" s="16"/>
      <c r="G102" s="16"/>
      <c r="H102" s="39"/>
      <c r="I102" s="39"/>
      <c r="J102" s="39"/>
      <c r="K102" s="39"/>
      <c r="L102" s="39"/>
      <c r="M102" s="39"/>
      <c r="N102" s="39"/>
      <c r="O102" s="39"/>
      <c r="P102" s="39"/>
      <c r="Q102" s="39"/>
      <c r="R102" s="16"/>
      <c r="S102" s="16"/>
      <c r="T102" s="16"/>
      <c r="U102" s="16"/>
      <c r="V102" s="16"/>
      <c r="W102" s="16"/>
      <c r="X102" s="16"/>
      <c r="Y102" s="16"/>
      <c r="Z102" s="16"/>
      <c r="AA102" s="16"/>
      <c r="AB102" s="16"/>
    </row>
    <row r="103" spans="3:28" ht="12.75">
      <c r="C103" s="16"/>
      <c r="D103" s="16"/>
      <c r="E103" s="16"/>
      <c r="F103" s="16"/>
      <c r="G103" s="16"/>
      <c r="H103" s="39"/>
      <c r="I103" s="39"/>
      <c r="J103" s="39"/>
      <c r="K103" s="39"/>
      <c r="L103" s="39"/>
      <c r="M103" s="39"/>
      <c r="N103" s="39"/>
      <c r="O103" s="39"/>
      <c r="P103" s="39"/>
      <c r="Q103" s="39"/>
      <c r="R103" s="16"/>
      <c r="S103" s="16"/>
      <c r="T103" s="16"/>
      <c r="U103" s="16"/>
      <c r="V103" s="16"/>
      <c r="W103" s="16"/>
      <c r="X103" s="16"/>
      <c r="Y103" s="16"/>
      <c r="Z103" s="16"/>
      <c r="AA103" s="16"/>
      <c r="AB103" s="16"/>
    </row>
    <row r="104" spans="3:28" ht="12.75">
      <c r="C104" s="16"/>
      <c r="D104" s="16"/>
      <c r="E104" s="16"/>
      <c r="F104" s="16"/>
      <c r="G104" s="16"/>
      <c r="H104" s="39"/>
      <c r="I104" s="39"/>
      <c r="J104" s="39"/>
      <c r="K104" s="39"/>
      <c r="L104" s="39"/>
      <c r="M104" s="39"/>
      <c r="N104" s="39"/>
      <c r="O104" s="39"/>
      <c r="P104" s="39"/>
      <c r="Q104" s="39"/>
      <c r="R104" s="16"/>
      <c r="S104" s="16"/>
      <c r="T104" s="16"/>
      <c r="U104" s="16"/>
      <c r="V104" s="16"/>
      <c r="W104" s="16"/>
      <c r="X104" s="16"/>
      <c r="Y104" s="16"/>
      <c r="Z104" s="16"/>
      <c r="AA104" s="16"/>
      <c r="AB104" s="16"/>
    </row>
    <row r="105" spans="3:28" ht="12.75">
      <c r="C105" s="16"/>
      <c r="D105" s="16"/>
      <c r="E105" s="16"/>
      <c r="F105" s="16"/>
      <c r="G105" s="16"/>
      <c r="H105" s="39"/>
      <c r="I105" s="39"/>
      <c r="J105" s="39"/>
      <c r="K105" s="39"/>
      <c r="L105" s="39"/>
      <c r="M105" s="39"/>
      <c r="N105" s="39"/>
      <c r="O105" s="39"/>
      <c r="P105" s="39"/>
      <c r="Q105" s="39"/>
      <c r="R105" s="16"/>
      <c r="S105" s="16"/>
      <c r="T105" s="16"/>
      <c r="U105" s="16"/>
      <c r="V105" s="16"/>
      <c r="W105" s="16"/>
      <c r="X105" s="16"/>
      <c r="Y105" s="16"/>
      <c r="Z105" s="16"/>
      <c r="AA105" s="16"/>
      <c r="AB105" s="16"/>
    </row>
    <row r="106" spans="3:28" ht="12.75">
      <c r="C106" s="16"/>
      <c r="D106" s="16"/>
      <c r="E106" s="16"/>
      <c r="F106" s="16"/>
      <c r="G106" s="16"/>
      <c r="H106" s="39"/>
      <c r="I106" s="39"/>
      <c r="J106" s="39"/>
      <c r="K106" s="39"/>
      <c r="L106" s="39"/>
      <c r="M106" s="39"/>
      <c r="N106" s="39"/>
      <c r="O106" s="39"/>
      <c r="P106" s="39"/>
      <c r="Q106" s="39"/>
      <c r="R106" s="16"/>
      <c r="S106" s="16"/>
      <c r="T106" s="16"/>
      <c r="U106" s="16"/>
      <c r="V106" s="16"/>
      <c r="W106" s="16"/>
      <c r="X106" s="16"/>
      <c r="Y106" s="16"/>
      <c r="Z106" s="16"/>
      <c r="AA106" s="16"/>
      <c r="AB106" s="16"/>
    </row>
    <row r="107" spans="3:28" ht="12.75">
      <c r="C107" s="16"/>
      <c r="D107" s="16"/>
      <c r="E107" s="16"/>
      <c r="F107" s="16"/>
      <c r="G107" s="16"/>
      <c r="H107" s="39"/>
      <c r="I107" s="39"/>
      <c r="J107" s="39"/>
      <c r="K107" s="39"/>
      <c r="L107" s="39"/>
      <c r="M107" s="39"/>
      <c r="N107" s="39"/>
      <c r="O107" s="39"/>
      <c r="P107" s="39"/>
      <c r="Q107" s="39"/>
      <c r="R107" s="16"/>
      <c r="S107" s="16"/>
      <c r="T107" s="16"/>
      <c r="U107" s="16"/>
      <c r="V107" s="16"/>
      <c r="W107" s="16"/>
      <c r="X107" s="16"/>
      <c r="Y107" s="16"/>
      <c r="Z107" s="16"/>
      <c r="AA107" s="16"/>
      <c r="AB107" s="16"/>
    </row>
    <row r="108" spans="3:28" ht="12.75">
      <c r="C108" s="16"/>
      <c r="D108" s="16"/>
      <c r="E108" s="16"/>
      <c r="F108" s="16"/>
      <c r="G108" s="16"/>
      <c r="H108" s="39"/>
      <c r="I108" s="39"/>
      <c r="J108" s="39"/>
      <c r="K108" s="39"/>
      <c r="L108" s="39"/>
      <c r="M108" s="39"/>
      <c r="N108" s="39"/>
      <c r="O108" s="39"/>
      <c r="P108" s="39"/>
      <c r="Q108" s="39"/>
      <c r="R108" s="16"/>
      <c r="S108" s="16"/>
      <c r="T108" s="16"/>
      <c r="U108" s="16"/>
      <c r="V108" s="16"/>
      <c r="W108" s="16"/>
      <c r="X108" s="16"/>
      <c r="Y108" s="16"/>
      <c r="Z108" s="16"/>
      <c r="AA108" s="16"/>
      <c r="AB108" s="16"/>
    </row>
    <row r="109" spans="3:28" ht="12.75">
      <c r="C109" s="16"/>
      <c r="D109" s="16"/>
      <c r="E109" s="16"/>
      <c r="F109" s="16"/>
      <c r="G109" s="16"/>
      <c r="H109" s="39"/>
      <c r="I109" s="39"/>
      <c r="J109" s="39"/>
      <c r="K109" s="39"/>
      <c r="L109" s="39"/>
      <c r="M109" s="39"/>
      <c r="N109" s="39"/>
      <c r="O109" s="39"/>
      <c r="P109" s="39"/>
      <c r="Q109" s="39"/>
      <c r="R109" s="16"/>
      <c r="S109" s="16"/>
      <c r="T109" s="16"/>
      <c r="U109" s="16"/>
      <c r="V109" s="16"/>
      <c r="W109" s="16"/>
      <c r="X109" s="16"/>
      <c r="Y109" s="16"/>
      <c r="Z109" s="16"/>
      <c r="AA109" s="16"/>
      <c r="AB109" s="16"/>
    </row>
    <row r="110" spans="3:28" ht="12.75">
      <c r="C110" s="16"/>
      <c r="D110" s="16"/>
      <c r="E110" s="16"/>
      <c r="F110" s="16"/>
      <c r="G110" s="16"/>
      <c r="H110" s="39"/>
      <c r="I110" s="39"/>
      <c r="J110" s="39"/>
      <c r="K110" s="39"/>
      <c r="L110" s="39"/>
      <c r="M110" s="39"/>
      <c r="N110" s="39"/>
      <c r="O110" s="39"/>
      <c r="P110" s="39"/>
      <c r="Q110" s="39"/>
      <c r="R110" s="16"/>
      <c r="S110" s="16"/>
      <c r="T110" s="16"/>
      <c r="U110" s="16"/>
      <c r="V110" s="16"/>
      <c r="W110" s="16"/>
      <c r="X110" s="16"/>
      <c r="Y110" s="16"/>
      <c r="Z110" s="16"/>
      <c r="AA110" s="16"/>
      <c r="AB110" s="16"/>
    </row>
    <row r="111" spans="3:28" ht="12.75">
      <c r="C111" s="16"/>
      <c r="D111" s="16"/>
      <c r="E111" s="16"/>
      <c r="F111" s="16"/>
      <c r="G111" s="16"/>
      <c r="H111" s="39"/>
      <c r="I111" s="39"/>
      <c r="J111" s="39"/>
      <c r="K111" s="39"/>
      <c r="L111" s="39"/>
      <c r="M111" s="39"/>
      <c r="N111" s="39"/>
      <c r="O111" s="39"/>
      <c r="P111" s="39"/>
      <c r="Q111" s="39"/>
      <c r="R111" s="16"/>
      <c r="S111" s="16"/>
      <c r="T111" s="16"/>
      <c r="U111" s="16"/>
      <c r="V111" s="16"/>
      <c r="W111" s="16"/>
      <c r="X111" s="16"/>
      <c r="Y111" s="16"/>
      <c r="Z111" s="16"/>
      <c r="AA111" s="16"/>
      <c r="AB111" s="16"/>
    </row>
    <row r="112" spans="3:28" ht="12.75">
      <c r="C112" s="16"/>
      <c r="D112" s="16"/>
      <c r="E112" s="16"/>
      <c r="F112" s="16"/>
      <c r="G112" s="16"/>
      <c r="H112" s="39"/>
      <c r="I112" s="39"/>
      <c r="J112" s="39"/>
      <c r="K112" s="39"/>
      <c r="L112" s="39"/>
      <c r="M112" s="39"/>
      <c r="N112" s="39"/>
      <c r="O112" s="39"/>
      <c r="P112" s="39"/>
      <c r="Q112" s="39"/>
      <c r="R112" s="16"/>
      <c r="S112" s="16"/>
      <c r="T112" s="16"/>
      <c r="U112" s="16"/>
      <c r="V112" s="16"/>
      <c r="W112" s="16"/>
      <c r="X112" s="16"/>
      <c r="Y112" s="16"/>
      <c r="Z112" s="16"/>
      <c r="AA112" s="16"/>
      <c r="AB112" s="16"/>
    </row>
    <row r="113" spans="3:28" ht="12.75">
      <c r="C113" s="16"/>
      <c r="D113" s="16"/>
      <c r="E113" s="16"/>
      <c r="F113" s="16"/>
      <c r="G113" s="16"/>
      <c r="H113" s="39"/>
      <c r="I113" s="39"/>
      <c r="J113" s="39"/>
      <c r="K113" s="39"/>
      <c r="L113" s="39"/>
      <c r="M113" s="39"/>
      <c r="N113" s="39"/>
      <c r="O113" s="39"/>
      <c r="P113" s="39"/>
      <c r="Q113" s="39"/>
      <c r="R113" s="16"/>
      <c r="S113" s="16"/>
      <c r="T113" s="16"/>
      <c r="U113" s="16"/>
      <c r="V113" s="16"/>
      <c r="W113" s="16"/>
      <c r="X113" s="16"/>
      <c r="Y113" s="16"/>
      <c r="Z113" s="16"/>
      <c r="AA113" s="16"/>
      <c r="AB113" s="16"/>
    </row>
    <row r="114" spans="3:28" ht="12.75">
      <c r="C114" s="16"/>
      <c r="D114" s="16"/>
      <c r="E114" s="16"/>
      <c r="F114" s="16"/>
      <c r="G114" s="16"/>
      <c r="H114" s="39"/>
      <c r="I114" s="39"/>
      <c r="J114" s="39"/>
      <c r="K114" s="39"/>
      <c r="L114" s="39"/>
      <c r="M114" s="39"/>
      <c r="N114" s="39"/>
      <c r="O114" s="39"/>
      <c r="P114" s="39"/>
      <c r="Q114" s="39"/>
      <c r="R114" s="16"/>
      <c r="S114" s="16"/>
      <c r="T114" s="16"/>
      <c r="U114" s="16"/>
      <c r="V114" s="16"/>
      <c r="W114" s="16"/>
      <c r="X114" s="16"/>
      <c r="Y114" s="16"/>
      <c r="Z114" s="16"/>
      <c r="AA114" s="16"/>
      <c r="AB114" s="16"/>
    </row>
    <row r="115" spans="3:28" ht="12.75">
      <c r="C115" s="16"/>
      <c r="D115" s="16"/>
      <c r="E115" s="16"/>
      <c r="F115" s="16"/>
      <c r="G115" s="16"/>
      <c r="H115" s="39"/>
      <c r="I115" s="39"/>
      <c r="J115" s="39"/>
      <c r="K115" s="39"/>
      <c r="L115" s="39"/>
      <c r="M115" s="39"/>
      <c r="N115" s="39"/>
      <c r="O115" s="39"/>
      <c r="P115" s="39"/>
      <c r="Q115" s="39"/>
      <c r="R115" s="16"/>
      <c r="S115" s="16"/>
      <c r="T115" s="16"/>
      <c r="U115" s="16"/>
      <c r="V115" s="16"/>
      <c r="W115" s="16"/>
      <c r="X115" s="16"/>
      <c r="Y115" s="16"/>
      <c r="Z115" s="16"/>
      <c r="AA115" s="16"/>
      <c r="AB115" s="16"/>
    </row>
    <row r="116" spans="3:28" ht="12.75">
      <c r="C116" s="16"/>
      <c r="D116" s="16"/>
      <c r="E116" s="16"/>
      <c r="F116" s="16"/>
      <c r="G116" s="16"/>
      <c r="H116" s="39"/>
      <c r="I116" s="39"/>
      <c r="J116" s="39"/>
      <c r="K116" s="39"/>
      <c r="L116" s="39"/>
      <c r="M116" s="39"/>
      <c r="N116" s="39"/>
      <c r="O116" s="39"/>
      <c r="P116" s="39"/>
      <c r="Q116" s="39"/>
      <c r="R116" s="16"/>
      <c r="S116" s="16"/>
      <c r="T116" s="16"/>
      <c r="U116" s="16"/>
      <c r="V116" s="16"/>
      <c r="W116" s="16"/>
      <c r="X116" s="16"/>
      <c r="Y116" s="16"/>
      <c r="Z116" s="16"/>
      <c r="AA116" s="16"/>
      <c r="AB116" s="16"/>
    </row>
    <row r="117" spans="3:28" ht="12.75">
      <c r="C117" s="16"/>
      <c r="D117" s="16"/>
      <c r="E117" s="16"/>
      <c r="F117" s="16"/>
      <c r="G117" s="16"/>
      <c r="H117" s="39"/>
      <c r="I117" s="39"/>
      <c r="J117" s="39"/>
      <c r="K117" s="39"/>
      <c r="L117" s="39"/>
      <c r="M117" s="39"/>
      <c r="N117" s="39"/>
      <c r="O117" s="39"/>
      <c r="P117" s="39"/>
      <c r="Q117" s="39"/>
      <c r="R117" s="16"/>
      <c r="S117" s="16"/>
      <c r="T117" s="16"/>
      <c r="U117" s="16"/>
      <c r="V117" s="16"/>
      <c r="W117" s="16"/>
      <c r="X117" s="16"/>
      <c r="Y117" s="16"/>
      <c r="Z117" s="16"/>
      <c r="AA117" s="16"/>
      <c r="AB117" s="16"/>
    </row>
    <row r="118" spans="3:28" ht="12.75">
      <c r="C118" s="16"/>
      <c r="D118" s="16"/>
      <c r="E118" s="16"/>
      <c r="F118" s="16"/>
      <c r="G118" s="16"/>
      <c r="H118" s="39"/>
      <c r="I118" s="39"/>
      <c r="J118" s="39"/>
      <c r="K118" s="39"/>
      <c r="L118" s="39"/>
      <c r="M118" s="39"/>
      <c r="N118" s="39"/>
      <c r="O118" s="39"/>
      <c r="P118" s="39"/>
      <c r="Q118" s="39"/>
      <c r="R118" s="16"/>
      <c r="S118" s="16"/>
      <c r="T118" s="16"/>
      <c r="U118" s="16"/>
      <c r="V118" s="16"/>
      <c r="W118" s="16"/>
      <c r="X118" s="16"/>
      <c r="Y118" s="16"/>
      <c r="Z118" s="16"/>
      <c r="AA118" s="16"/>
      <c r="AB118" s="16"/>
    </row>
    <row r="119" spans="3:28" ht="12.75">
      <c r="C119" s="16"/>
      <c r="D119" s="16"/>
      <c r="E119" s="16"/>
      <c r="F119" s="16"/>
      <c r="G119" s="16"/>
      <c r="H119" s="39"/>
      <c r="I119" s="39"/>
      <c r="J119" s="39"/>
      <c r="K119" s="39"/>
      <c r="L119" s="39"/>
      <c r="M119" s="39"/>
      <c r="N119" s="39"/>
      <c r="O119" s="39"/>
      <c r="P119" s="39"/>
      <c r="Q119" s="39"/>
      <c r="R119" s="16"/>
      <c r="S119" s="16"/>
      <c r="T119" s="16"/>
      <c r="U119" s="16"/>
      <c r="V119" s="16"/>
      <c r="W119" s="16"/>
      <c r="X119" s="16"/>
      <c r="Y119" s="16"/>
      <c r="Z119" s="16"/>
      <c r="AA119" s="16"/>
      <c r="AB119" s="16"/>
    </row>
    <row r="120" spans="3:28" ht="12.75">
      <c r="C120" s="16"/>
      <c r="D120" s="16"/>
      <c r="E120" s="16"/>
      <c r="F120" s="16"/>
      <c r="G120" s="16"/>
      <c r="H120" s="39"/>
      <c r="I120" s="39"/>
      <c r="J120" s="39"/>
      <c r="K120" s="39"/>
      <c r="L120" s="39"/>
      <c r="M120" s="39"/>
      <c r="N120" s="39"/>
      <c r="O120" s="39"/>
      <c r="P120" s="39"/>
      <c r="Q120" s="39"/>
      <c r="R120" s="16"/>
      <c r="S120" s="16"/>
      <c r="T120" s="16"/>
      <c r="U120" s="16"/>
      <c r="V120" s="16"/>
      <c r="W120" s="16"/>
      <c r="X120" s="16"/>
      <c r="Y120" s="16"/>
      <c r="Z120" s="16"/>
      <c r="AA120" s="16"/>
      <c r="AB120" s="16"/>
    </row>
    <row r="121" spans="3:28" ht="12.75">
      <c r="C121" s="16"/>
      <c r="D121" s="16"/>
      <c r="E121" s="16"/>
      <c r="F121" s="16"/>
      <c r="G121" s="16"/>
      <c r="H121" s="39"/>
      <c r="I121" s="39"/>
      <c r="J121" s="39"/>
      <c r="K121" s="39"/>
      <c r="L121" s="39"/>
      <c r="M121" s="39"/>
      <c r="N121" s="39"/>
      <c r="O121" s="39"/>
      <c r="P121" s="39"/>
      <c r="Q121" s="39"/>
      <c r="R121" s="16"/>
      <c r="S121" s="16"/>
      <c r="T121" s="16"/>
      <c r="U121" s="16"/>
      <c r="V121" s="16"/>
      <c r="W121" s="16"/>
      <c r="X121" s="16"/>
      <c r="Y121" s="16"/>
      <c r="Z121" s="16"/>
      <c r="AA121" s="16"/>
      <c r="AB121" s="16"/>
    </row>
    <row r="122" spans="3:28" ht="12.75">
      <c r="C122" s="16"/>
      <c r="D122" s="16"/>
      <c r="E122" s="16"/>
      <c r="F122" s="16"/>
      <c r="G122" s="16"/>
      <c r="H122" s="39"/>
      <c r="I122" s="39"/>
      <c r="J122" s="39"/>
      <c r="K122" s="39"/>
      <c r="L122" s="39"/>
      <c r="M122" s="39"/>
      <c r="N122" s="39"/>
      <c r="O122" s="39"/>
      <c r="P122" s="39"/>
      <c r="Q122" s="39"/>
      <c r="R122" s="16"/>
      <c r="S122" s="16"/>
      <c r="T122" s="16"/>
      <c r="U122" s="16"/>
      <c r="V122" s="16"/>
      <c r="W122" s="16"/>
      <c r="X122" s="16"/>
      <c r="Y122" s="16"/>
      <c r="Z122" s="16"/>
      <c r="AA122" s="16"/>
      <c r="AB122" s="16"/>
    </row>
    <row r="123" spans="3:28" ht="12.75">
      <c r="C123" s="16"/>
      <c r="D123" s="16"/>
      <c r="E123" s="16"/>
      <c r="F123" s="16"/>
      <c r="G123" s="16"/>
      <c r="H123" s="39"/>
      <c r="I123" s="39"/>
      <c r="J123" s="39"/>
      <c r="K123" s="39"/>
      <c r="L123" s="39"/>
      <c r="M123" s="39"/>
      <c r="N123" s="39"/>
      <c r="O123" s="39"/>
      <c r="P123" s="39"/>
      <c r="Q123" s="39"/>
      <c r="R123" s="16"/>
      <c r="S123" s="16"/>
      <c r="T123" s="16"/>
      <c r="U123" s="16"/>
      <c r="V123" s="16"/>
      <c r="W123" s="16"/>
      <c r="X123" s="16"/>
      <c r="Y123" s="16"/>
      <c r="Z123" s="16"/>
      <c r="AA123" s="16"/>
      <c r="AB123" s="16"/>
    </row>
    <row r="124" spans="3:28" ht="12.75">
      <c r="C124" s="16"/>
      <c r="D124" s="16"/>
      <c r="E124" s="16"/>
      <c r="F124" s="16"/>
      <c r="G124" s="16"/>
      <c r="H124" s="39"/>
      <c r="I124" s="39"/>
      <c r="J124" s="39"/>
      <c r="K124" s="39"/>
      <c r="L124" s="39"/>
      <c r="M124" s="39"/>
      <c r="N124" s="39"/>
      <c r="O124" s="39"/>
      <c r="P124" s="39"/>
      <c r="Q124" s="39"/>
      <c r="R124" s="16"/>
      <c r="S124" s="16"/>
      <c r="T124" s="16"/>
      <c r="U124" s="16"/>
      <c r="V124" s="16"/>
      <c r="W124" s="16"/>
      <c r="X124" s="16"/>
      <c r="Y124" s="16"/>
      <c r="Z124" s="16"/>
      <c r="AA124" s="16"/>
      <c r="AB124" s="16"/>
    </row>
    <row r="125" spans="3:28" ht="12.75">
      <c r="C125" s="16"/>
      <c r="D125" s="16"/>
      <c r="E125" s="16"/>
      <c r="F125" s="16"/>
      <c r="G125" s="16"/>
      <c r="H125" s="39"/>
      <c r="I125" s="39"/>
      <c r="J125" s="39"/>
      <c r="K125" s="39"/>
      <c r="L125" s="39"/>
      <c r="M125" s="39"/>
      <c r="N125" s="39"/>
      <c r="O125" s="39"/>
      <c r="P125" s="39"/>
      <c r="Q125" s="39"/>
      <c r="R125" s="16"/>
      <c r="S125" s="16"/>
      <c r="T125" s="16"/>
      <c r="U125" s="16"/>
      <c r="V125" s="16"/>
      <c r="W125" s="16"/>
      <c r="X125" s="16"/>
      <c r="Y125" s="16"/>
      <c r="Z125" s="16"/>
      <c r="AA125" s="16"/>
      <c r="AB125" s="16"/>
    </row>
    <row r="126" spans="3:28" ht="12.75">
      <c r="C126" s="16"/>
      <c r="D126" s="16"/>
      <c r="E126" s="16"/>
      <c r="F126" s="16"/>
      <c r="G126" s="16"/>
      <c r="H126" s="39"/>
      <c r="I126" s="39"/>
      <c r="J126" s="39"/>
      <c r="K126" s="39"/>
      <c r="L126" s="39"/>
      <c r="M126" s="39"/>
      <c r="N126" s="39"/>
      <c r="O126" s="39"/>
      <c r="P126" s="39"/>
      <c r="Q126" s="39"/>
      <c r="R126" s="16"/>
      <c r="S126" s="16"/>
      <c r="T126" s="16"/>
      <c r="U126" s="16"/>
      <c r="V126" s="16"/>
      <c r="W126" s="16"/>
      <c r="X126" s="16"/>
      <c r="Y126" s="16"/>
      <c r="Z126" s="16"/>
      <c r="AA126" s="16"/>
      <c r="AB126" s="16"/>
    </row>
    <row r="127" spans="3:28" ht="12.75">
      <c r="C127" s="16"/>
      <c r="D127" s="16"/>
      <c r="E127" s="16"/>
      <c r="F127" s="16"/>
      <c r="G127" s="16"/>
      <c r="H127" s="39"/>
      <c r="I127" s="39"/>
      <c r="J127" s="39"/>
      <c r="K127" s="39"/>
      <c r="L127" s="39"/>
      <c r="M127" s="39"/>
      <c r="N127" s="39"/>
      <c r="O127" s="39"/>
      <c r="P127" s="39"/>
      <c r="Q127" s="39"/>
      <c r="R127" s="16"/>
      <c r="S127" s="16"/>
      <c r="T127" s="16"/>
      <c r="U127" s="16"/>
      <c r="V127" s="16"/>
      <c r="W127" s="16"/>
      <c r="X127" s="16"/>
      <c r="Y127" s="16"/>
      <c r="Z127" s="16"/>
      <c r="AA127" s="16"/>
      <c r="AB127" s="16"/>
    </row>
    <row r="128" spans="3:28" ht="12.75">
      <c r="C128" s="16"/>
      <c r="D128" s="16"/>
      <c r="E128" s="16"/>
      <c r="F128" s="16"/>
      <c r="G128" s="16"/>
      <c r="H128" s="39"/>
      <c r="I128" s="39"/>
      <c r="J128" s="39"/>
      <c r="K128" s="39"/>
      <c r="L128" s="39"/>
      <c r="M128" s="39"/>
      <c r="N128" s="39"/>
      <c r="O128" s="39"/>
      <c r="P128" s="39"/>
      <c r="Q128" s="39"/>
      <c r="R128" s="16"/>
      <c r="S128" s="16"/>
      <c r="T128" s="16"/>
      <c r="U128" s="16"/>
      <c r="V128" s="16"/>
      <c r="W128" s="16"/>
      <c r="X128" s="16"/>
      <c r="Y128" s="16"/>
      <c r="Z128" s="16"/>
      <c r="AA128" s="16"/>
      <c r="AB128" s="16"/>
    </row>
    <row r="129" spans="3:28" ht="12.75">
      <c r="C129" s="16"/>
      <c r="D129" s="16"/>
      <c r="E129" s="16"/>
      <c r="F129" s="16"/>
      <c r="G129" s="16"/>
      <c r="H129" s="39"/>
      <c r="I129" s="39"/>
      <c r="J129" s="39"/>
      <c r="K129" s="39"/>
      <c r="L129" s="39"/>
      <c r="M129" s="39"/>
      <c r="N129" s="39"/>
      <c r="O129" s="39"/>
      <c r="P129" s="39"/>
      <c r="Q129" s="39"/>
      <c r="R129" s="16"/>
      <c r="S129" s="16"/>
      <c r="T129" s="16"/>
      <c r="U129" s="16"/>
      <c r="V129" s="16"/>
      <c r="W129" s="16"/>
      <c r="X129" s="16"/>
      <c r="Y129" s="16"/>
      <c r="Z129" s="16"/>
      <c r="AA129" s="16"/>
      <c r="AB129" s="16"/>
    </row>
    <row r="130" spans="3:28" ht="12.75">
      <c r="C130" s="16"/>
      <c r="D130" s="16"/>
      <c r="E130" s="16"/>
      <c r="F130" s="16"/>
      <c r="G130" s="16"/>
      <c r="H130" s="39"/>
      <c r="I130" s="39"/>
      <c r="J130" s="39"/>
      <c r="K130" s="39"/>
      <c r="L130" s="39"/>
      <c r="M130" s="39"/>
      <c r="N130" s="39"/>
      <c r="O130" s="39"/>
      <c r="P130" s="39"/>
      <c r="Q130" s="39"/>
      <c r="R130" s="16"/>
      <c r="S130" s="16"/>
      <c r="T130" s="16"/>
      <c r="U130" s="16"/>
      <c r="V130" s="16"/>
      <c r="W130" s="16"/>
      <c r="X130" s="16"/>
      <c r="Y130" s="16"/>
      <c r="Z130" s="16"/>
      <c r="AA130" s="16"/>
      <c r="AB130" s="16"/>
    </row>
    <row r="131" spans="3:28" ht="12.75">
      <c r="C131" s="16"/>
      <c r="D131" s="16"/>
      <c r="E131" s="16"/>
      <c r="F131" s="16"/>
      <c r="G131" s="16"/>
      <c r="H131" s="39"/>
      <c r="I131" s="39"/>
      <c r="J131" s="39"/>
      <c r="K131" s="39"/>
      <c r="L131" s="39"/>
      <c r="M131" s="39"/>
      <c r="N131" s="39"/>
      <c r="O131" s="39"/>
      <c r="P131" s="39"/>
      <c r="Q131" s="39"/>
      <c r="R131" s="16"/>
      <c r="S131" s="16"/>
      <c r="T131" s="16"/>
      <c r="U131" s="16"/>
      <c r="V131" s="16"/>
      <c r="W131" s="16"/>
      <c r="X131" s="16"/>
      <c r="Y131" s="16"/>
      <c r="Z131" s="16"/>
      <c r="AA131" s="16"/>
      <c r="AB131" s="16"/>
    </row>
    <row r="132" spans="3:28" ht="12.75">
      <c r="C132" s="16"/>
      <c r="D132" s="16"/>
      <c r="E132" s="16"/>
      <c r="F132" s="16"/>
      <c r="G132" s="16"/>
      <c r="H132" s="39"/>
      <c r="I132" s="39"/>
      <c r="J132" s="39"/>
      <c r="K132" s="39"/>
      <c r="L132" s="39"/>
      <c r="M132" s="39"/>
      <c r="N132" s="39"/>
      <c r="O132" s="39"/>
      <c r="P132" s="39"/>
      <c r="Q132" s="39"/>
      <c r="R132" s="16"/>
      <c r="S132" s="16"/>
      <c r="T132" s="16"/>
      <c r="U132" s="16"/>
      <c r="V132" s="16"/>
      <c r="W132" s="16"/>
      <c r="X132" s="16"/>
      <c r="Y132" s="16"/>
      <c r="Z132" s="16"/>
      <c r="AA132" s="16"/>
      <c r="AB132" s="16"/>
    </row>
    <row r="133" spans="3:28" ht="12.75">
      <c r="C133" s="16"/>
      <c r="D133" s="16"/>
      <c r="E133" s="16"/>
      <c r="F133" s="16"/>
      <c r="G133" s="16"/>
      <c r="H133" s="39"/>
      <c r="I133" s="39"/>
      <c r="J133" s="39"/>
      <c r="K133" s="39"/>
      <c r="L133" s="39"/>
      <c r="M133" s="39"/>
      <c r="N133" s="39"/>
      <c r="O133" s="39"/>
      <c r="P133" s="39"/>
      <c r="Q133" s="39"/>
      <c r="R133" s="16"/>
      <c r="S133" s="16"/>
      <c r="T133" s="16"/>
      <c r="U133" s="16"/>
      <c r="V133" s="16"/>
      <c r="W133" s="16"/>
      <c r="X133" s="16"/>
      <c r="Y133" s="16"/>
      <c r="Z133" s="16"/>
      <c r="AA133" s="16"/>
      <c r="AB133" s="16"/>
    </row>
    <row r="134" spans="3:28" ht="12.75">
      <c r="C134" s="16"/>
      <c r="D134" s="16"/>
      <c r="E134" s="16"/>
      <c r="F134" s="16"/>
      <c r="G134" s="16"/>
      <c r="H134" s="39"/>
      <c r="I134" s="39"/>
      <c r="J134" s="39"/>
      <c r="K134" s="39"/>
      <c r="L134" s="39"/>
      <c r="M134" s="39"/>
      <c r="N134" s="39"/>
      <c r="O134" s="39"/>
      <c r="P134" s="39"/>
      <c r="Q134" s="39"/>
      <c r="R134" s="16"/>
      <c r="S134" s="16"/>
      <c r="T134" s="16"/>
      <c r="U134" s="16"/>
      <c r="V134" s="16"/>
      <c r="W134" s="16"/>
      <c r="X134" s="16"/>
      <c r="Y134" s="16"/>
      <c r="Z134" s="16"/>
      <c r="AA134" s="16"/>
      <c r="AB134" s="16"/>
    </row>
    <row r="135" spans="3:28" ht="12.75">
      <c r="C135" s="16"/>
      <c r="D135" s="16"/>
      <c r="E135" s="16"/>
      <c r="F135" s="16"/>
      <c r="G135" s="16"/>
      <c r="H135" s="39"/>
      <c r="I135" s="39"/>
      <c r="J135" s="39"/>
      <c r="K135" s="39"/>
      <c r="L135" s="39"/>
      <c r="M135" s="39"/>
      <c r="N135" s="39"/>
      <c r="O135" s="39"/>
      <c r="P135" s="39"/>
      <c r="Q135" s="39"/>
      <c r="R135" s="16"/>
      <c r="S135" s="16"/>
      <c r="T135" s="16"/>
      <c r="U135" s="16"/>
      <c r="V135" s="16"/>
      <c r="W135" s="16"/>
      <c r="X135" s="16"/>
      <c r="Y135" s="16"/>
      <c r="Z135" s="16"/>
      <c r="AA135" s="16"/>
      <c r="AB135" s="16"/>
    </row>
    <row r="136" spans="3:28" ht="12.75">
      <c r="C136" s="16"/>
      <c r="D136" s="16"/>
      <c r="E136" s="16"/>
      <c r="F136" s="16"/>
      <c r="G136" s="16"/>
      <c r="H136" s="39"/>
      <c r="I136" s="39"/>
      <c r="J136" s="39"/>
      <c r="K136" s="39"/>
      <c r="L136" s="39"/>
      <c r="M136" s="39"/>
      <c r="N136" s="39"/>
      <c r="O136" s="39"/>
      <c r="P136" s="39"/>
      <c r="Q136" s="39"/>
      <c r="R136" s="16"/>
      <c r="S136" s="16"/>
      <c r="T136" s="16"/>
      <c r="U136" s="16"/>
      <c r="V136" s="16"/>
      <c r="W136" s="16"/>
      <c r="X136" s="16"/>
      <c r="Y136" s="16"/>
      <c r="Z136" s="16"/>
      <c r="AA136" s="16"/>
      <c r="AB136" s="16"/>
    </row>
    <row r="137" spans="3:28" ht="12.75">
      <c r="C137" s="16"/>
      <c r="D137" s="16"/>
      <c r="E137" s="16"/>
      <c r="F137" s="16"/>
      <c r="G137" s="16"/>
      <c r="H137" s="39"/>
      <c r="I137" s="39"/>
      <c r="J137" s="39"/>
      <c r="K137" s="39"/>
      <c r="L137" s="39"/>
      <c r="M137" s="39"/>
      <c r="N137" s="39"/>
      <c r="O137" s="39"/>
      <c r="P137" s="39"/>
      <c r="Q137" s="39"/>
      <c r="R137" s="16"/>
      <c r="S137" s="16"/>
      <c r="T137" s="16"/>
      <c r="U137" s="16"/>
      <c r="V137" s="16"/>
      <c r="W137" s="16"/>
      <c r="X137" s="16"/>
      <c r="Y137" s="16"/>
      <c r="Z137" s="16"/>
      <c r="AA137" s="16"/>
      <c r="AB137" s="16"/>
    </row>
    <row r="138" spans="3:28" ht="12.75">
      <c r="C138" s="16"/>
      <c r="D138" s="16"/>
      <c r="E138" s="16"/>
      <c r="F138" s="16"/>
      <c r="G138" s="16"/>
      <c r="H138" s="39"/>
      <c r="I138" s="39"/>
      <c r="J138" s="39"/>
      <c r="K138" s="39"/>
      <c r="L138" s="39"/>
      <c r="M138" s="39"/>
      <c r="N138" s="39"/>
      <c r="O138" s="39"/>
      <c r="P138" s="39"/>
      <c r="Q138" s="39"/>
      <c r="R138" s="16"/>
      <c r="S138" s="16"/>
      <c r="T138" s="16"/>
      <c r="U138" s="16"/>
      <c r="V138" s="16"/>
      <c r="W138" s="16"/>
      <c r="X138" s="16"/>
      <c r="Y138" s="16"/>
      <c r="Z138" s="16"/>
      <c r="AA138" s="16"/>
      <c r="AB138" s="16"/>
    </row>
    <row r="139" spans="3:28" ht="12.75">
      <c r="C139" s="16"/>
      <c r="D139" s="16"/>
      <c r="E139" s="16"/>
      <c r="F139" s="16"/>
      <c r="G139" s="16"/>
      <c r="H139" s="39"/>
      <c r="I139" s="39"/>
      <c r="J139" s="39"/>
      <c r="K139" s="39"/>
      <c r="L139" s="39"/>
      <c r="M139" s="39"/>
      <c r="N139" s="39"/>
      <c r="O139" s="39"/>
      <c r="P139" s="39"/>
      <c r="Q139" s="39"/>
      <c r="R139" s="16"/>
      <c r="S139" s="16"/>
      <c r="T139" s="16"/>
      <c r="U139" s="16"/>
      <c r="V139" s="16"/>
      <c r="W139" s="16"/>
      <c r="X139" s="16"/>
      <c r="Y139" s="16"/>
      <c r="Z139" s="16"/>
      <c r="AA139" s="16"/>
      <c r="AB139" s="16"/>
    </row>
    <row r="140" spans="3:28" ht="12.75">
      <c r="C140" s="16"/>
      <c r="D140" s="16"/>
      <c r="E140" s="16"/>
      <c r="F140" s="16"/>
      <c r="G140" s="16"/>
      <c r="H140" s="39"/>
      <c r="I140" s="39"/>
      <c r="J140" s="39"/>
      <c r="K140" s="39"/>
      <c r="L140" s="39"/>
      <c r="M140" s="39"/>
      <c r="N140" s="39"/>
      <c r="O140" s="39"/>
      <c r="P140" s="39"/>
      <c r="Q140" s="39"/>
      <c r="R140" s="16"/>
      <c r="S140" s="16"/>
      <c r="T140" s="16"/>
      <c r="U140" s="16"/>
      <c r="V140" s="16"/>
      <c r="W140" s="16"/>
      <c r="X140" s="16"/>
      <c r="Y140" s="16"/>
      <c r="Z140" s="16"/>
      <c r="AA140" s="16"/>
      <c r="AB140" s="16"/>
    </row>
    <row r="141" spans="3:28" ht="12.75">
      <c r="C141" s="16"/>
      <c r="D141" s="16"/>
      <c r="E141" s="16"/>
      <c r="F141" s="16"/>
      <c r="G141" s="16"/>
      <c r="H141" s="39"/>
      <c r="I141" s="39"/>
      <c r="J141" s="39"/>
      <c r="K141" s="39"/>
      <c r="L141" s="39"/>
      <c r="M141" s="39"/>
      <c r="N141" s="39"/>
      <c r="O141" s="39"/>
      <c r="P141" s="39"/>
      <c r="Q141" s="39"/>
      <c r="R141" s="16"/>
      <c r="S141" s="16"/>
      <c r="T141" s="16"/>
      <c r="U141" s="16"/>
      <c r="V141" s="16"/>
      <c r="W141" s="16"/>
      <c r="X141" s="16"/>
      <c r="Y141" s="16"/>
      <c r="Z141" s="16"/>
      <c r="AA141" s="16"/>
      <c r="AB141" s="16"/>
    </row>
    <row r="142" spans="3:28" ht="12.75">
      <c r="C142" s="16"/>
      <c r="D142" s="16"/>
      <c r="E142" s="16"/>
      <c r="F142" s="16"/>
      <c r="G142" s="16"/>
      <c r="H142" s="39"/>
      <c r="I142" s="39"/>
      <c r="J142" s="39"/>
      <c r="K142" s="39"/>
      <c r="L142" s="39"/>
      <c r="M142" s="39"/>
      <c r="N142" s="39"/>
      <c r="O142" s="39"/>
      <c r="P142" s="39"/>
      <c r="Q142" s="39"/>
      <c r="R142" s="16"/>
      <c r="S142" s="16"/>
      <c r="T142" s="16"/>
      <c r="U142" s="16"/>
      <c r="V142" s="16"/>
      <c r="W142" s="16"/>
      <c r="X142" s="16"/>
      <c r="Y142" s="16"/>
      <c r="Z142" s="16"/>
      <c r="AA142" s="16"/>
      <c r="AB142" s="16"/>
    </row>
    <row r="143" spans="3:28" ht="12.75">
      <c r="C143" s="16"/>
      <c r="D143" s="16"/>
      <c r="E143" s="16"/>
      <c r="F143" s="16"/>
      <c r="G143" s="16"/>
      <c r="H143" s="39"/>
      <c r="I143" s="39"/>
      <c r="J143" s="39"/>
      <c r="K143" s="39"/>
      <c r="L143" s="39"/>
      <c r="M143" s="39"/>
      <c r="N143" s="39"/>
      <c r="O143" s="39"/>
      <c r="P143" s="39"/>
      <c r="Q143" s="39"/>
      <c r="R143" s="16"/>
      <c r="S143" s="16"/>
      <c r="T143" s="16"/>
      <c r="U143" s="16"/>
      <c r="V143" s="16"/>
      <c r="W143" s="16"/>
      <c r="X143" s="16"/>
      <c r="Y143" s="16"/>
      <c r="Z143" s="16"/>
      <c r="AA143" s="16"/>
      <c r="AB143" s="16"/>
    </row>
    <row r="144" spans="3:28" ht="12.75">
      <c r="C144" s="16"/>
      <c r="D144" s="16"/>
      <c r="E144" s="16"/>
      <c r="F144" s="16"/>
      <c r="G144" s="16"/>
      <c r="H144" s="39"/>
      <c r="I144" s="39"/>
      <c r="J144" s="39"/>
      <c r="K144" s="39"/>
      <c r="L144" s="39"/>
      <c r="M144" s="39"/>
      <c r="N144" s="39"/>
      <c r="O144" s="39"/>
      <c r="P144" s="39"/>
      <c r="Q144" s="39"/>
      <c r="R144" s="16"/>
      <c r="S144" s="16"/>
      <c r="T144" s="16"/>
      <c r="U144" s="16"/>
      <c r="V144" s="16"/>
      <c r="W144" s="16"/>
      <c r="X144" s="16"/>
      <c r="Y144" s="16"/>
      <c r="Z144" s="16"/>
      <c r="AA144" s="16"/>
      <c r="AB144" s="16"/>
    </row>
    <row r="145" spans="3:28" ht="12.75">
      <c r="C145" s="16"/>
      <c r="D145" s="16"/>
      <c r="E145" s="16"/>
      <c r="F145" s="16"/>
      <c r="G145" s="16"/>
      <c r="H145" s="39"/>
      <c r="I145" s="39"/>
      <c r="J145" s="39"/>
      <c r="K145" s="39"/>
      <c r="L145" s="39"/>
      <c r="M145" s="39"/>
      <c r="N145" s="39"/>
      <c r="O145" s="39"/>
      <c r="P145" s="39"/>
      <c r="Q145" s="39"/>
      <c r="R145" s="16"/>
      <c r="S145" s="16"/>
      <c r="T145" s="16"/>
      <c r="U145" s="16"/>
      <c r="V145" s="16"/>
      <c r="W145" s="16"/>
      <c r="X145" s="16"/>
      <c r="Y145" s="16"/>
      <c r="Z145" s="16"/>
      <c r="AA145" s="16"/>
      <c r="AB145" s="16"/>
    </row>
    <row r="146" spans="3:28" ht="12.75">
      <c r="C146" s="16"/>
      <c r="D146" s="16"/>
      <c r="E146" s="16"/>
      <c r="F146" s="16"/>
      <c r="G146" s="16"/>
      <c r="H146" s="39"/>
      <c r="I146" s="39"/>
      <c r="J146" s="39"/>
      <c r="K146" s="39"/>
      <c r="L146" s="39"/>
      <c r="M146" s="39"/>
      <c r="N146" s="39"/>
      <c r="O146" s="39"/>
      <c r="P146" s="39"/>
      <c r="Q146" s="39"/>
      <c r="R146" s="16"/>
      <c r="S146" s="16"/>
      <c r="T146" s="16"/>
      <c r="U146" s="16"/>
      <c r="V146" s="16"/>
      <c r="W146" s="16"/>
      <c r="X146" s="16"/>
      <c r="Y146" s="16"/>
      <c r="Z146" s="16"/>
      <c r="AA146" s="16"/>
      <c r="AB146" s="16"/>
    </row>
    <row r="147" spans="3:28" ht="12.75">
      <c r="C147" s="16"/>
      <c r="D147" s="16"/>
      <c r="E147" s="16"/>
      <c r="F147" s="16"/>
      <c r="G147" s="16"/>
      <c r="H147" s="39"/>
      <c r="I147" s="39"/>
      <c r="J147" s="39"/>
      <c r="K147" s="39"/>
      <c r="L147" s="39"/>
      <c r="M147" s="39"/>
      <c r="N147" s="39"/>
      <c r="O147" s="39"/>
      <c r="P147" s="39"/>
      <c r="Q147" s="39"/>
      <c r="R147" s="16"/>
      <c r="S147" s="16"/>
      <c r="T147" s="16"/>
      <c r="U147" s="16"/>
      <c r="V147" s="16"/>
      <c r="W147" s="16"/>
      <c r="X147" s="16"/>
      <c r="Y147" s="16"/>
      <c r="Z147" s="16"/>
      <c r="AA147" s="16"/>
      <c r="AB147" s="16"/>
    </row>
    <row r="148" spans="3:28" ht="12.75">
      <c r="C148" s="16"/>
      <c r="D148" s="16"/>
      <c r="E148" s="16"/>
      <c r="F148" s="16"/>
      <c r="G148" s="16"/>
      <c r="H148" s="39"/>
      <c r="I148" s="39"/>
      <c r="J148" s="39"/>
      <c r="K148" s="39"/>
      <c r="L148" s="39"/>
      <c r="M148" s="39"/>
      <c r="N148" s="39"/>
      <c r="O148" s="39"/>
      <c r="P148" s="39"/>
      <c r="Q148" s="39"/>
      <c r="R148" s="16"/>
      <c r="S148" s="16"/>
      <c r="T148" s="16"/>
      <c r="U148" s="16"/>
      <c r="V148" s="16"/>
      <c r="W148" s="16"/>
      <c r="X148" s="16"/>
      <c r="Y148" s="16"/>
      <c r="Z148" s="16"/>
      <c r="AA148" s="16"/>
      <c r="AB148" s="16"/>
    </row>
    <row r="149" spans="3:28" ht="12.75">
      <c r="C149" s="16"/>
      <c r="D149" s="16"/>
      <c r="E149" s="16"/>
      <c r="F149" s="16"/>
      <c r="G149" s="16"/>
      <c r="H149" s="39"/>
      <c r="I149" s="39"/>
      <c r="J149" s="39"/>
      <c r="K149" s="39"/>
      <c r="L149" s="39"/>
      <c r="M149" s="39"/>
      <c r="N149" s="39"/>
      <c r="O149" s="39"/>
      <c r="P149" s="39"/>
      <c r="Q149" s="39"/>
      <c r="R149" s="16"/>
      <c r="S149" s="16"/>
      <c r="T149" s="16"/>
      <c r="U149" s="16"/>
      <c r="V149" s="16"/>
      <c r="W149" s="16"/>
      <c r="X149" s="16"/>
      <c r="Y149" s="16"/>
      <c r="Z149" s="16"/>
      <c r="AA149" s="16"/>
      <c r="AB149" s="16"/>
    </row>
    <row r="150" spans="3:28" ht="12.75">
      <c r="C150" s="16"/>
      <c r="D150" s="16"/>
      <c r="E150" s="16"/>
      <c r="F150" s="16"/>
      <c r="G150" s="16"/>
      <c r="H150" s="39"/>
      <c r="I150" s="39"/>
      <c r="J150" s="39"/>
      <c r="K150" s="39"/>
      <c r="L150" s="39"/>
      <c r="M150" s="39"/>
      <c r="N150" s="39"/>
      <c r="O150" s="39"/>
      <c r="P150" s="39"/>
      <c r="Q150" s="39"/>
      <c r="R150" s="16"/>
      <c r="S150" s="16"/>
      <c r="T150" s="16"/>
      <c r="U150" s="16"/>
      <c r="V150" s="16"/>
      <c r="W150" s="16"/>
      <c r="X150" s="16"/>
      <c r="Y150" s="16"/>
      <c r="Z150" s="16"/>
      <c r="AA150" s="16"/>
      <c r="AB150" s="16"/>
    </row>
    <row r="151" spans="3:28" ht="12.75">
      <c r="C151" s="16"/>
      <c r="D151" s="16"/>
      <c r="E151" s="16"/>
      <c r="F151" s="16"/>
      <c r="G151" s="16"/>
      <c r="H151" s="39"/>
      <c r="I151" s="39"/>
      <c r="J151" s="39"/>
      <c r="K151" s="39"/>
      <c r="L151" s="39"/>
      <c r="M151" s="39"/>
      <c r="N151" s="39"/>
      <c r="O151" s="39"/>
      <c r="P151" s="39"/>
      <c r="Q151" s="39"/>
      <c r="R151" s="16"/>
      <c r="S151" s="16"/>
      <c r="T151" s="16"/>
      <c r="U151" s="16"/>
      <c r="V151" s="16"/>
      <c r="W151" s="16"/>
      <c r="X151" s="16"/>
      <c r="Y151" s="16"/>
      <c r="Z151" s="16"/>
      <c r="AA151" s="16"/>
      <c r="AB151" s="16"/>
    </row>
    <row r="152" spans="3:28" ht="12.75">
      <c r="C152" s="16"/>
      <c r="D152" s="16"/>
      <c r="E152" s="16"/>
      <c r="F152" s="16"/>
      <c r="G152" s="16"/>
      <c r="H152" s="39"/>
      <c r="I152" s="39"/>
      <c r="J152" s="39"/>
      <c r="K152" s="39"/>
      <c r="L152" s="39"/>
      <c r="M152" s="39"/>
      <c r="N152" s="39"/>
      <c r="O152" s="39"/>
      <c r="P152" s="39"/>
      <c r="Q152" s="39"/>
      <c r="R152" s="16"/>
      <c r="S152" s="16"/>
      <c r="T152" s="16"/>
      <c r="U152" s="16"/>
      <c r="V152" s="16"/>
      <c r="W152" s="16"/>
      <c r="X152" s="16"/>
      <c r="Y152" s="16"/>
      <c r="Z152" s="16"/>
      <c r="AA152" s="16"/>
      <c r="AB152" s="16"/>
    </row>
    <row r="153" spans="3:28" ht="12.75">
      <c r="C153" s="16"/>
      <c r="D153" s="16"/>
      <c r="E153" s="16"/>
      <c r="F153" s="16"/>
      <c r="G153" s="16"/>
      <c r="H153" s="39"/>
      <c r="I153" s="39"/>
      <c r="J153" s="39"/>
      <c r="K153" s="39"/>
      <c r="L153" s="39"/>
      <c r="M153" s="39"/>
      <c r="N153" s="39"/>
      <c r="O153" s="39"/>
      <c r="P153" s="39"/>
      <c r="Q153" s="39"/>
      <c r="R153" s="16"/>
      <c r="S153" s="16"/>
      <c r="T153" s="16"/>
      <c r="U153" s="16"/>
      <c r="V153" s="16"/>
      <c r="W153" s="16"/>
      <c r="X153" s="16"/>
      <c r="Y153" s="16"/>
      <c r="Z153" s="16"/>
      <c r="AA153" s="16"/>
      <c r="AB153" s="16"/>
    </row>
    <row r="154" spans="3:28" ht="12.75">
      <c r="C154" s="16"/>
      <c r="D154" s="16"/>
      <c r="E154" s="16"/>
      <c r="F154" s="16"/>
      <c r="G154" s="16"/>
      <c r="H154" s="39"/>
      <c r="I154" s="39"/>
      <c r="J154" s="39"/>
      <c r="K154" s="39"/>
      <c r="L154" s="39"/>
      <c r="M154" s="39"/>
      <c r="N154" s="39"/>
      <c r="O154" s="39"/>
      <c r="P154" s="39"/>
      <c r="Q154" s="39"/>
      <c r="R154" s="16"/>
      <c r="S154" s="16"/>
      <c r="T154" s="16"/>
      <c r="U154" s="16"/>
      <c r="V154" s="16"/>
      <c r="W154" s="16"/>
      <c r="X154" s="16"/>
      <c r="Y154" s="16"/>
      <c r="Z154" s="16"/>
      <c r="AA154" s="16"/>
      <c r="AB154" s="16"/>
    </row>
    <row r="155" spans="3:28" ht="12.75">
      <c r="C155" s="16"/>
      <c r="D155" s="16"/>
      <c r="E155" s="16"/>
      <c r="F155" s="16"/>
      <c r="G155" s="16"/>
      <c r="H155" s="39"/>
      <c r="I155" s="39"/>
      <c r="J155" s="39"/>
      <c r="K155" s="39"/>
      <c r="L155" s="39"/>
      <c r="M155" s="39"/>
      <c r="N155" s="39"/>
      <c r="O155" s="39"/>
      <c r="P155" s="39"/>
      <c r="Q155" s="39"/>
      <c r="R155" s="16"/>
      <c r="S155" s="16"/>
      <c r="T155" s="16"/>
      <c r="U155" s="16"/>
      <c r="V155" s="16"/>
      <c r="W155" s="16"/>
      <c r="X155" s="16"/>
      <c r="Y155" s="16"/>
      <c r="Z155" s="16"/>
      <c r="AA155" s="16"/>
      <c r="AB155" s="16"/>
    </row>
    <row r="156" spans="3:28" ht="12.75">
      <c r="C156" s="16"/>
      <c r="D156" s="16"/>
      <c r="E156" s="16"/>
      <c r="F156" s="16"/>
      <c r="G156" s="16"/>
      <c r="H156" s="39"/>
      <c r="I156" s="39"/>
      <c r="J156" s="39"/>
      <c r="K156" s="39"/>
      <c r="L156" s="39"/>
      <c r="M156" s="39"/>
      <c r="N156" s="39"/>
      <c r="O156" s="39"/>
      <c r="P156" s="39"/>
      <c r="Q156" s="39"/>
      <c r="R156" s="16"/>
      <c r="S156" s="16"/>
      <c r="T156" s="16"/>
      <c r="U156" s="16"/>
      <c r="V156" s="16"/>
      <c r="W156" s="16"/>
      <c r="X156" s="16"/>
      <c r="Y156" s="16"/>
      <c r="Z156" s="16"/>
      <c r="AA156" s="16"/>
      <c r="AB156" s="16"/>
    </row>
    <row r="157" spans="3:28" ht="12.75">
      <c r="C157" s="16"/>
      <c r="D157" s="16"/>
      <c r="E157" s="16"/>
      <c r="F157" s="16"/>
      <c r="G157" s="16"/>
      <c r="H157" s="39"/>
      <c r="I157" s="39"/>
      <c r="J157" s="39"/>
      <c r="K157" s="39"/>
      <c r="L157" s="39"/>
      <c r="M157" s="39"/>
      <c r="N157" s="39"/>
      <c r="O157" s="39"/>
      <c r="P157" s="39"/>
      <c r="Q157" s="39"/>
      <c r="R157" s="16"/>
      <c r="S157" s="16"/>
      <c r="T157" s="16"/>
      <c r="U157" s="16"/>
      <c r="V157" s="16"/>
      <c r="W157" s="16"/>
      <c r="X157" s="16"/>
      <c r="Y157" s="16"/>
      <c r="Z157" s="16"/>
      <c r="AA157" s="16"/>
      <c r="AB157" s="16"/>
    </row>
    <row r="158" spans="3:28" ht="12.75">
      <c r="C158" s="16"/>
      <c r="D158" s="16"/>
      <c r="E158" s="16"/>
      <c r="F158" s="16"/>
      <c r="G158" s="16"/>
      <c r="H158" s="39"/>
      <c r="I158" s="39"/>
      <c r="J158" s="39"/>
      <c r="K158" s="39"/>
      <c r="L158" s="39"/>
      <c r="M158" s="39"/>
      <c r="N158" s="39"/>
      <c r="O158" s="39"/>
      <c r="P158" s="39"/>
      <c r="Q158" s="39"/>
      <c r="R158" s="16"/>
      <c r="S158" s="16"/>
      <c r="T158" s="16"/>
      <c r="U158" s="16"/>
      <c r="V158" s="16"/>
      <c r="W158" s="16"/>
      <c r="X158" s="16"/>
      <c r="Y158" s="16"/>
      <c r="Z158" s="16"/>
      <c r="AA158" s="16"/>
      <c r="AB158" s="16"/>
    </row>
    <row r="159" spans="3:28" ht="12.75">
      <c r="C159" s="16"/>
      <c r="D159" s="16"/>
      <c r="E159" s="16"/>
      <c r="F159" s="16"/>
      <c r="G159" s="16"/>
      <c r="H159" s="39"/>
      <c r="I159" s="39"/>
      <c r="J159" s="39"/>
      <c r="K159" s="39"/>
      <c r="L159" s="39"/>
      <c r="M159" s="39"/>
      <c r="N159" s="39"/>
      <c r="O159" s="39"/>
      <c r="P159" s="39"/>
      <c r="Q159" s="39"/>
      <c r="R159" s="16"/>
      <c r="S159" s="16"/>
      <c r="T159" s="16"/>
      <c r="U159" s="16"/>
      <c r="V159" s="16"/>
      <c r="W159" s="16"/>
      <c r="X159" s="16"/>
      <c r="Y159" s="16"/>
      <c r="Z159" s="16"/>
      <c r="AA159" s="16"/>
      <c r="AB159" s="16"/>
    </row>
    <row r="160" spans="3:28" ht="12.75">
      <c r="C160" s="16"/>
      <c r="D160" s="16"/>
      <c r="E160" s="16"/>
      <c r="F160" s="16"/>
      <c r="G160" s="16"/>
      <c r="H160" s="39"/>
      <c r="I160" s="39"/>
      <c r="J160" s="39"/>
      <c r="K160" s="39"/>
      <c r="L160" s="39"/>
      <c r="M160" s="39"/>
      <c r="N160" s="39"/>
      <c r="O160" s="39"/>
      <c r="P160" s="39"/>
      <c r="Q160" s="39"/>
      <c r="R160" s="16"/>
      <c r="S160" s="16"/>
      <c r="T160" s="16"/>
      <c r="U160" s="16"/>
      <c r="V160" s="16"/>
      <c r="W160" s="16"/>
      <c r="X160" s="16"/>
      <c r="Y160" s="16"/>
      <c r="Z160" s="16"/>
      <c r="AA160" s="16"/>
      <c r="AB160" s="16"/>
    </row>
    <row r="161" spans="3:28" ht="12.75">
      <c r="C161" s="16"/>
      <c r="D161" s="16"/>
      <c r="E161" s="16"/>
      <c r="F161" s="16"/>
      <c r="G161" s="16"/>
      <c r="H161" s="39"/>
      <c r="I161" s="39"/>
      <c r="J161" s="39"/>
      <c r="K161" s="39"/>
      <c r="L161" s="39"/>
      <c r="M161" s="39"/>
      <c r="N161" s="39"/>
      <c r="O161" s="39"/>
      <c r="P161" s="39"/>
      <c r="Q161" s="39"/>
      <c r="R161" s="16"/>
      <c r="S161" s="16"/>
      <c r="T161" s="16"/>
      <c r="U161" s="16"/>
      <c r="V161" s="16"/>
      <c r="W161" s="16"/>
      <c r="X161" s="16"/>
      <c r="Y161" s="16"/>
      <c r="Z161" s="16"/>
      <c r="AA161" s="16"/>
      <c r="AB161" s="16"/>
    </row>
    <row r="162" spans="3:28" ht="12.75">
      <c r="C162" s="16"/>
      <c r="D162" s="16"/>
      <c r="E162" s="16"/>
      <c r="F162" s="16"/>
      <c r="G162" s="16"/>
      <c r="H162" s="39"/>
      <c r="I162" s="39"/>
      <c r="J162" s="39"/>
      <c r="K162" s="39"/>
      <c r="L162" s="39"/>
      <c r="M162" s="39"/>
      <c r="N162" s="39"/>
      <c r="O162" s="39"/>
      <c r="P162" s="39"/>
      <c r="Q162" s="39"/>
      <c r="R162" s="16"/>
      <c r="S162" s="16"/>
      <c r="T162" s="16"/>
      <c r="U162" s="16"/>
      <c r="V162" s="16"/>
      <c r="W162" s="16"/>
      <c r="X162" s="16"/>
      <c r="Y162" s="16"/>
      <c r="Z162" s="16"/>
      <c r="AA162" s="16"/>
      <c r="AB162" s="16"/>
    </row>
    <row r="163" spans="3:28" ht="12.75">
      <c r="C163" s="16"/>
      <c r="D163" s="16"/>
      <c r="E163" s="16"/>
      <c r="F163" s="16"/>
      <c r="G163" s="16"/>
      <c r="H163" s="39"/>
      <c r="I163" s="39"/>
      <c r="J163" s="39"/>
      <c r="K163" s="39"/>
      <c r="L163" s="39"/>
      <c r="M163" s="39"/>
      <c r="N163" s="39"/>
      <c r="O163" s="39"/>
      <c r="P163" s="39"/>
      <c r="Q163" s="39"/>
      <c r="R163" s="16"/>
      <c r="S163" s="16"/>
      <c r="T163" s="16"/>
      <c r="U163" s="16"/>
      <c r="V163" s="16"/>
      <c r="W163" s="16"/>
      <c r="X163" s="16"/>
      <c r="Y163" s="16"/>
      <c r="Z163" s="16"/>
      <c r="AA163" s="16"/>
      <c r="AB163" s="16"/>
    </row>
    <row r="164" spans="3:28" ht="12.75">
      <c r="C164" s="16"/>
      <c r="D164" s="16"/>
      <c r="E164" s="16"/>
      <c r="F164" s="16"/>
      <c r="G164" s="16"/>
      <c r="H164" s="39"/>
      <c r="I164" s="39"/>
      <c r="J164" s="39"/>
      <c r="K164" s="39"/>
      <c r="L164" s="39"/>
      <c r="M164" s="39"/>
      <c r="N164" s="39"/>
      <c r="O164" s="39"/>
      <c r="P164" s="39"/>
      <c r="Q164" s="39"/>
      <c r="R164" s="16"/>
      <c r="S164" s="16"/>
      <c r="T164" s="16"/>
      <c r="U164" s="16"/>
      <c r="V164" s="16"/>
      <c r="W164" s="16"/>
      <c r="X164" s="16"/>
      <c r="Y164" s="16"/>
      <c r="Z164" s="16"/>
      <c r="AA164" s="16"/>
      <c r="AB164" s="16"/>
    </row>
    <row r="165" spans="3:28" ht="12.75">
      <c r="C165" s="16"/>
      <c r="D165" s="16"/>
      <c r="E165" s="16"/>
      <c r="F165" s="16"/>
      <c r="G165" s="16"/>
      <c r="H165" s="39"/>
      <c r="I165" s="39"/>
      <c r="J165" s="39"/>
      <c r="K165" s="39"/>
      <c r="L165" s="39"/>
      <c r="M165" s="39"/>
      <c r="N165" s="39"/>
      <c r="O165" s="39"/>
      <c r="P165" s="39"/>
      <c r="Q165" s="39"/>
      <c r="R165" s="16"/>
      <c r="S165" s="16"/>
      <c r="T165" s="16"/>
      <c r="U165" s="16"/>
      <c r="V165" s="16"/>
      <c r="W165" s="16"/>
      <c r="X165" s="16"/>
      <c r="Y165" s="16"/>
      <c r="Z165" s="16"/>
      <c r="AA165" s="16"/>
      <c r="AB165" s="16"/>
    </row>
    <row r="166" spans="3:28" ht="12.75">
      <c r="C166" s="16"/>
      <c r="D166" s="16"/>
      <c r="E166" s="16"/>
      <c r="F166" s="16"/>
      <c r="G166" s="16"/>
      <c r="H166" s="39"/>
      <c r="I166" s="39"/>
      <c r="J166" s="39"/>
      <c r="K166" s="39"/>
      <c r="L166" s="39"/>
      <c r="M166" s="39"/>
      <c r="N166" s="39"/>
      <c r="O166" s="39"/>
      <c r="P166" s="39"/>
      <c r="Q166" s="39"/>
      <c r="R166" s="16"/>
      <c r="S166" s="16"/>
      <c r="T166" s="16"/>
      <c r="U166" s="16"/>
      <c r="V166" s="16"/>
      <c r="W166" s="16"/>
      <c r="X166" s="16"/>
      <c r="Y166" s="16"/>
      <c r="Z166" s="16"/>
      <c r="AA166" s="16"/>
      <c r="AB166" s="16"/>
    </row>
    <row r="167" spans="3:28" ht="12.75">
      <c r="C167" s="16"/>
      <c r="D167" s="16"/>
      <c r="E167" s="16"/>
      <c r="F167" s="16"/>
      <c r="G167" s="16"/>
      <c r="H167" s="39"/>
      <c r="I167" s="39"/>
      <c r="J167" s="39"/>
      <c r="K167" s="39"/>
      <c r="L167" s="39"/>
      <c r="M167" s="39"/>
      <c r="N167" s="39"/>
      <c r="O167" s="39"/>
      <c r="P167" s="39"/>
      <c r="Q167" s="39"/>
      <c r="R167" s="16"/>
      <c r="S167" s="16"/>
      <c r="T167" s="16"/>
      <c r="U167" s="16"/>
      <c r="V167" s="16"/>
      <c r="W167" s="16"/>
      <c r="X167" s="16"/>
      <c r="Y167" s="16"/>
      <c r="Z167" s="16"/>
      <c r="AA167" s="16"/>
      <c r="AB167" s="16"/>
    </row>
    <row r="168" spans="3:28" ht="12.75">
      <c r="C168" s="16"/>
      <c r="D168" s="16"/>
      <c r="E168" s="16"/>
      <c r="F168" s="16"/>
      <c r="G168" s="16"/>
      <c r="H168" s="39"/>
      <c r="I168" s="39"/>
      <c r="J168" s="39"/>
      <c r="K168" s="39"/>
      <c r="L168" s="39"/>
      <c r="M168" s="39"/>
      <c r="N168" s="39"/>
      <c r="O168" s="39"/>
      <c r="P168" s="39"/>
      <c r="Q168" s="39"/>
      <c r="R168" s="16"/>
      <c r="S168" s="16"/>
      <c r="T168" s="16"/>
      <c r="U168" s="16"/>
      <c r="V168" s="16"/>
      <c r="W168" s="16"/>
      <c r="X168" s="16"/>
      <c r="Y168" s="16"/>
      <c r="Z168" s="16"/>
      <c r="AA168" s="16"/>
      <c r="AB168" s="16"/>
    </row>
    <row r="169" spans="3:28" ht="12.75">
      <c r="C169" s="16"/>
      <c r="D169" s="16"/>
      <c r="E169" s="16"/>
      <c r="F169" s="16"/>
      <c r="G169" s="16"/>
      <c r="H169" s="39"/>
      <c r="I169" s="39"/>
      <c r="J169" s="39"/>
      <c r="K169" s="39"/>
      <c r="L169" s="39"/>
      <c r="M169" s="39"/>
      <c r="N169" s="39"/>
      <c r="O169" s="39"/>
      <c r="P169" s="39"/>
      <c r="Q169" s="39"/>
      <c r="R169" s="16"/>
      <c r="S169" s="16"/>
      <c r="T169" s="16"/>
      <c r="U169" s="16"/>
      <c r="V169" s="16"/>
      <c r="W169" s="16"/>
      <c r="X169" s="16"/>
      <c r="Y169" s="16"/>
      <c r="Z169" s="16"/>
      <c r="AA169" s="16"/>
      <c r="AB169" s="16"/>
    </row>
    <row r="170" spans="3:28" ht="12.75">
      <c r="C170" s="16"/>
      <c r="D170" s="16"/>
      <c r="E170" s="16"/>
      <c r="F170" s="16"/>
      <c r="G170" s="16"/>
      <c r="H170" s="39"/>
      <c r="I170" s="39"/>
      <c r="J170" s="39"/>
      <c r="K170" s="39"/>
      <c r="L170" s="39"/>
      <c r="M170" s="39"/>
      <c r="N170" s="39"/>
      <c r="O170" s="39"/>
      <c r="P170" s="39"/>
      <c r="Q170" s="39"/>
      <c r="R170" s="16"/>
      <c r="S170" s="16"/>
      <c r="T170" s="16"/>
      <c r="U170" s="16"/>
      <c r="V170" s="16"/>
      <c r="W170" s="16"/>
      <c r="X170" s="16"/>
      <c r="Y170" s="16"/>
      <c r="Z170" s="16"/>
      <c r="AA170" s="16"/>
      <c r="AB170" s="16"/>
    </row>
    <row r="171" spans="3:28" ht="12.75">
      <c r="C171" s="16"/>
      <c r="D171" s="16"/>
      <c r="E171" s="16"/>
      <c r="F171" s="16"/>
      <c r="G171" s="16"/>
      <c r="H171" s="39"/>
      <c r="I171" s="39"/>
      <c r="J171" s="39"/>
      <c r="K171" s="39"/>
      <c r="L171" s="39"/>
      <c r="M171" s="39"/>
      <c r="N171" s="39"/>
      <c r="O171" s="39"/>
      <c r="P171" s="39"/>
      <c r="Q171" s="39"/>
      <c r="R171" s="16"/>
      <c r="S171" s="16"/>
      <c r="T171" s="16"/>
      <c r="U171" s="16"/>
      <c r="V171" s="16"/>
      <c r="W171" s="16"/>
      <c r="X171" s="16"/>
      <c r="Y171" s="16"/>
      <c r="Z171" s="16"/>
      <c r="AA171" s="16"/>
      <c r="AB171" s="16"/>
    </row>
    <row r="172" spans="3:28" ht="12.75">
      <c r="C172" s="16"/>
      <c r="D172" s="16"/>
      <c r="E172" s="16"/>
      <c r="F172" s="16"/>
      <c r="G172" s="16"/>
      <c r="H172" s="39"/>
      <c r="I172" s="39"/>
      <c r="J172" s="39"/>
      <c r="K172" s="39"/>
      <c r="L172" s="39"/>
      <c r="M172" s="39"/>
      <c r="N172" s="39"/>
      <c r="O172" s="39"/>
      <c r="P172" s="39"/>
      <c r="Q172" s="39"/>
      <c r="R172" s="16"/>
      <c r="S172" s="16"/>
      <c r="T172" s="16"/>
      <c r="U172" s="16"/>
      <c r="V172" s="16"/>
      <c r="W172" s="16"/>
      <c r="X172" s="16"/>
      <c r="Y172" s="16"/>
      <c r="Z172" s="16"/>
      <c r="AA172" s="16"/>
      <c r="AB172" s="16"/>
    </row>
    <row r="173" spans="3:28" ht="12.75">
      <c r="C173" s="16"/>
      <c r="D173" s="16"/>
      <c r="E173" s="16"/>
      <c r="F173" s="16"/>
      <c r="G173" s="16"/>
      <c r="H173" s="39"/>
      <c r="I173" s="39"/>
      <c r="J173" s="39"/>
      <c r="K173" s="39"/>
      <c r="L173" s="39"/>
      <c r="M173" s="39"/>
      <c r="N173" s="39"/>
      <c r="O173" s="39"/>
      <c r="P173" s="39"/>
      <c r="Q173" s="39"/>
      <c r="R173" s="16"/>
      <c r="S173" s="16"/>
      <c r="T173" s="16"/>
      <c r="U173" s="16"/>
      <c r="V173" s="16"/>
      <c r="W173" s="16"/>
      <c r="X173" s="16"/>
      <c r="Y173" s="16"/>
      <c r="Z173" s="16"/>
      <c r="AA173" s="16"/>
      <c r="AB173" s="16"/>
    </row>
    <row r="174" spans="3:28" ht="12.75">
      <c r="C174" s="16"/>
      <c r="D174" s="16"/>
      <c r="E174" s="16"/>
      <c r="F174" s="16"/>
      <c r="G174" s="16"/>
      <c r="H174" s="39"/>
      <c r="I174" s="39"/>
      <c r="J174" s="39"/>
      <c r="K174" s="39"/>
      <c r="L174" s="39"/>
      <c r="M174" s="39"/>
      <c r="N174" s="39"/>
      <c r="O174" s="39"/>
      <c r="P174" s="39"/>
      <c r="Q174" s="39"/>
      <c r="R174" s="16"/>
      <c r="S174" s="16"/>
      <c r="T174" s="16"/>
      <c r="U174" s="16"/>
      <c r="V174" s="16"/>
      <c r="W174" s="16"/>
      <c r="X174" s="16"/>
      <c r="Y174" s="16"/>
      <c r="Z174" s="16"/>
      <c r="AA174" s="16"/>
      <c r="AB174" s="16"/>
    </row>
    <row r="175" spans="3:28" ht="12.75">
      <c r="C175" s="16"/>
      <c r="D175" s="16"/>
      <c r="E175" s="16"/>
      <c r="F175" s="16"/>
      <c r="G175" s="16"/>
      <c r="H175" s="39"/>
      <c r="I175" s="39"/>
      <c r="J175" s="39"/>
      <c r="K175" s="39"/>
      <c r="L175" s="39"/>
      <c r="M175" s="39"/>
      <c r="N175" s="39"/>
      <c r="O175" s="39"/>
      <c r="P175" s="39"/>
      <c r="Q175" s="39"/>
      <c r="R175" s="16"/>
      <c r="S175" s="16"/>
      <c r="T175" s="16"/>
      <c r="U175" s="16"/>
      <c r="V175" s="16"/>
      <c r="W175" s="16"/>
      <c r="X175" s="16"/>
      <c r="Y175" s="16"/>
      <c r="Z175" s="16"/>
      <c r="AA175" s="16"/>
      <c r="AB175" s="16"/>
    </row>
    <row r="176" spans="3:28" ht="12.75">
      <c r="C176" s="16"/>
      <c r="D176" s="16"/>
      <c r="E176" s="16"/>
      <c r="F176" s="16"/>
      <c r="G176" s="16"/>
      <c r="H176" s="39"/>
      <c r="I176" s="39"/>
      <c r="J176" s="39"/>
      <c r="K176" s="39"/>
      <c r="L176" s="39"/>
      <c r="M176" s="39"/>
      <c r="N176" s="39"/>
      <c r="O176" s="39"/>
      <c r="P176" s="39"/>
      <c r="Q176" s="39"/>
      <c r="R176" s="16"/>
      <c r="S176" s="16"/>
      <c r="T176" s="16"/>
      <c r="U176" s="16"/>
      <c r="V176" s="16"/>
      <c r="W176" s="16"/>
      <c r="X176" s="16"/>
      <c r="Y176" s="16"/>
      <c r="Z176" s="16"/>
      <c r="AA176" s="16"/>
      <c r="AB176" s="16"/>
    </row>
    <row r="177" spans="3:28" ht="12.75">
      <c r="C177" s="16"/>
      <c r="D177" s="16"/>
      <c r="E177" s="16"/>
      <c r="F177" s="16"/>
      <c r="G177" s="16"/>
      <c r="H177" s="39"/>
      <c r="I177" s="39"/>
      <c r="J177" s="39"/>
      <c r="K177" s="39"/>
      <c r="L177" s="39"/>
      <c r="M177" s="39"/>
      <c r="N177" s="39"/>
      <c r="O177" s="39"/>
      <c r="P177" s="39"/>
      <c r="Q177" s="39"/>
      <c r="R177" s="16"/>
      <c r="S177" s="16"/>
      <c r="T177" s="16"/>
      <c r="U177" s="16"/>
      <c r="V177" s="16"/>
      <c r="W177" s="16"/>
      <c r="X177" s="16"/>
      <c r="Y177" s="16"/>
      <c r="Z177" s="16"/>
      <c r="AA177" s="16"/>
      <c r="AB177" s="16"/>
    </row>
    <row r="178" spans="3:28" ht="12.75">
      <c r="C178" s="16"/>
      <c r="D178" s="16"/>
      <c r="E178" s="16"/>
      <c r="F178" s="16"/>
      <c r="G178" s="16"/>
      <c r="H178" s="39"/>
      <c r="I178" s="39"/>
      <c r="J178" s="39"/>
      <c r="K178" s="39"/>
      <c r="L178" s="39"/>
      <c r="M178" s="39"/>
      <c r="N178" s="39"/>
      <c r="O178" s="39"/>
      <c r="P178" s="39"/>
      <c r="Q178" s="39"/>
      <c r="R178" s="16"/>
      <c r="S178" s="16"/>
      <c r="T178" s="16"/>
      <c r="U178" s="16"/>
      <c r="V178" s="16"/>
      <c r="W178" s="16"/>
      <c r="X178" s="16"/>
      <c r="Y178" s="16"/>
      <c r="Z178" s="16"/>
      <c r="AA178" s="16"/>
      <c r="AB178" s="16"/>
    </row>
    <row r="179" spans="3:28" ht="12.75">
      <c r="C179" s="16"/>
      <c r="D179" s="16"/>
      <c r="E179" s="16"/>
      <c r="F179" s="16"/>
      <c r="G179" s="16"/>
      <c r="H179" s="39"/>
      <c r="I179" s="39"/>
      <c r="J179" s="39"/>
      <c r="K179" s="39"/>
      <c r="L179" s="39"/>
      <c r="M179" s="39"/>
      <c r="N179" s="39"/>
      <c r="O179" s="39"/>
      <c r="P179" s="39"/>
      <c r="Q179" s="39"/>
      <c r="R179" s="16"/>
      <c r="S179" s="16"/>
      <c r="T179" s="16"/>
      <c r="U179" s="16"/>
      <c r="V179" s="16"/>
      <c r="W179" s="16"/>
      <c r="X179" s="16"/>
      <c r="Y179" s="16"/>
      <c r="Z179" s="16"/>
      <c r="AA179" s="16"/>
      <c r="AB179" s="16"/>
    </row>
    <row r="180" spans="3:28" ht="12.75">
      <c r="C180" s="16"/>
      <c r="D180" s="16"/>
      <c r="E180" s="16"/>
      <c r="F180" s="16"/>
      <c r="G180" s="16"/>
      <c r="H180" s="39"/>
      <c r="I180" s="39"/>
      <c r="J180" s="39"/>
      <c r="K180" s="39"/>
      <c r="L180" s="39"/>
      <c r="M180" s="39"/>
      <c r="N180" s="39"/>
      <c r="O180" s="39"/>
      <c r="P180" s="39"/>
      <c r="Q180" s="39"/>
      <c r="R180" s="16"/>
      <c r="S180" s="16"/>
      <c r="T180" s="16"/>
      <c r="U180" s="16"/>
      <c r="V180" s="16"/>
      <c r="W180" s="16"/>
      <c r="X180" s="16"/>
      <c r="Y180" s="16"/>
      <c r="Z180" s="16"/>
      <c r="AA180" s="16"/>
      <c r="AB180" s="16"/>
    </row>
    <row r="181" spans="3:28" ht="12.75">
      <c r="C181" s="16"/>
      <c r="D181" s="16"/>
      <c r="E181" s="16"/>
      <c r="F181" s="16"/>
      <c r="G181" s="16"/>
      <c r="H181" s="39"/>
      <c r="I181" s="39"/>
      <c r="J181" s="39"/>
      <c r="K181" s="39"/>
      <c r="L181" s="39"/>
      <c r="M181" s="39"/>
      <c r="N181" s="39"/>
      <c r="O181" s="39"/>
      <c r="P181" s="39"/>
      <c r="Q181" s="39"/>
      <c r="R181" s="16"/>
      <c r="S181" s="16"/>
      <c r="T181" s="16"/>
      <c r="U181" s="16"/>
      <c r="V181" s="16"/>
      <c r="W181" s="16"/>
      <c r="X181" s="16"/>
      <c r="Y181" s="16"/>
      <c r="Z181" s="16"/>
      <c r="AA181" s="16"/>
      <c r="AB181" s="16"/>
    </row>
    <row r="182" spans="3:28" ht="12.75">
      <c r="C182" s="16"/>
      <c r="D182" s="16"/>
      <c r="E182" s="16"/>
      <c r="F182" s="16"/>
      <c r="G182" s="16"/>
      <c r="H182" s="39"/>
      <c r="I182" s="39"/>
      <c r="J182" s="39"/>
      <c r="K182" s="39"/>
      <c r="L182" s="39"/>
      <c r="M182" s="39"/>
      <c r="N182" s="39"/>
      <c r="O182" s="39"/>
      <c r="P182" s="39"/>
      <c r="Q182" s="39"/>
      <c r="R182" s="16"/>
      <c r="S182" s="16"/>
      <c r="T182" s="16"/>
      <c r="U182" s="16"/>
      <c r="V182" s="16"/>
      <c r="W182" s="16"/>
      <c r="X182" s="16"/>
      <c r="Y182" s="16"/>
      <c r="Z182" s="16"/>
      <c r="AA182" s="16"/>
      <c r="AB182" s="16"/>
    </row>
    <row r="183" spans="3:28" ht="12.75">
      <c r="C183" s="16"/>
      <c r="D183" s="16"/>
      <c r="E183" s="16"/>
      <c r="F183" s="16"/>
      <c r="G183" s="16"/>
      <c r="H183" s="39"/>
      <c r="I183" s="39"/>
      <c r="J183" s="39"/>
      <c r="K183" s="39"/>
      <c r="L183" s="39"/>
      <c r="M183" s="39"/>
      <c r="N183" s="39"/>
      <c r="O183" s="39"/>
      <c r="P183" s="39"/>
      <c r="Q183" s="39"/>
      <c r="R183" s="16"/>
      <c r="S183" s="16"/>
      <c r="T183" s="16"/>
      <c r="U183" s="16"/>
      <c r="V183" s="16"/>
      <c r="W183" s="16"/>
      <c r="X183" s="16"/>
      <c r="Y183" s="16"/>
      <c r="Z183" s="16"/>
      <c r="AA183" s="16"/>
      <c r="AB183" s="16"/>
    </row>
    <row r="184" spans="3:28" ht="12.75">
      <c r="C184" s="16"/>
      <c r="D184" s="16"/>
      <c r="E184" s="16"/>
      <c r="F184" s="16"/>
      <c r="G184" s="16"/>
      <c r="H184" s="39"/>
      <c r="I184" s="39"/>
      <c r="J184" s="39"/>
      <c r="K184" s="39"/>
      <c r="L184" s="39"/>
      <c r="M184" s="39"/>
      <c r="N184" s="39"/>
      <c r="O184" s="39"/>
      <c r="P184" s="39"/>
      <c r="Q184" s="39"/>
      <c r="R184" s="16"/>
      <c r="S184" s="16"/>
      <c r="T184" s="16"/>
      <c r="U184" s="16"/>
      <c r="V184" s="16"/>
      <c r="W184" s="16"/>
      <c r="X184" s="16"/>
      <c r="Y184" s="16"/>
      <c r="Z184" s="16"/>
      <c r="AA184" s="16"/>
      <c r="AB184" s="16"/>
    </row>
    <row r="185" spans="3:28" ht="12.75">
      <c r="C185" s="16"/>
      <c r="D185" s="16"/>
      <c r="E185" s="16"/>
      <c r="F185" s="16"/>
      <c r="G185" s="16"/>
      <c r="H185" s="39"/>
      <c r="I185" s="39"/>
      <c r="J185" s="39"/>
      <c r="K185" s="39"/>
      <c r="L185" s="39"/>
      <c r="M185" s="39"/>
      <c r="N185" s="39"/>
      <c r="O185" s="39"/>
      <c r="P185" s="39"/>
      <c r="Q185" s="39"/>
      <c r="R185" s="16"/>
      <c r="S185" s="16"/>
      <c r="T185" s="16"/>
      <c r="U185" s="16"/>
      <c r="V185" s="16"/>
      <c r="W185" s="16"/>
      <c r="X185" s="16"/>
      <c r="Y185" s="16"/>
      <c r="Z185" s="16"/>
      <c r="AA185" s="16"/>
      <c r="AB185" s="16"/>
    </row>
    <row r="186" spans="3:28" ht="12.75">
      <c r="C186" s="16"/>
      <c r="D186" s="16"/>
      <c r="E186" s="16"/>
      <c r="F186" s="16"/>
      <c r="G186" s="16"/>
      <c r="H186" s="39"/>
      <c r="I186" s="39"/>
      <c r="J186" s="39"/>
      <c r="K186" s="39"/>
      <c r="L186" s="39"/>
      <c r="M186" s="39"/>
      <c r="N186" s="39"/>
      <c r="O186" s="39"/>
      <c r="P186" s="39"/>
      <c r="Q186" s="39"/>
      <c r="R186" s="16"/>
      <c r="S186" s="16"/>
      <c r="T186" s="16"/>
      <c r="U186" s="16"/>
      <c r="V186" s="16"/>
      <c r="W186" s="16"/>
      <c r="X186" s="16"/>
      <c r="Y186" s="16"/>
      <c r="Z186" s="16"/>
      <c r="AA186" s="16"/>
      <c r="AB186" s="16"/>
    </row>
    <row r="187" spans="3:28" ht="12.75">
      <c r="C187" s="16"/>
      <c r="D187" s="16"/>
      <c r="E187" s="16"/>
      <c r="F187" s="16"/>
      <c r="G187" s="16"/>
      <c r="H187" s="39"/>
      <c r="I187" s="39"/>
      <c r="J187" s="39"/>
      <c r="K187" s="39"/>
      <c r="L187" s="39"/>
      <c r="M187" s="39"/>
      <c r="N187" s="39"/>
      <c r="O187" s="39"/>
      <c r="P187" s="39"/>
      <c r="Q187" s="39"/>
      <c r="R187" s="16"/>
      <c r="S187" s="16"/>
      <c r="T187" s="16"/>
      <c r="U187" s="16"/>
      <c r="V187" s="16"/>
      <c r="W187" s="16"/>
      <c r="X187" s="16"/>
      <c r="Y187" s="16"/>
      <c r="Z187" s="16"/>
      <c r="AA187" s="16"/>
      <c r="AB187" s="16"/>
    </row>
    <row r="188" spans="3:28" ht="12.75">
      <c r="C188" s="16"/>
      <c r="D188" s="16"/>
      <c r="E188" s="16"/>
      <c r="F188" s="16"/>
      <c r="G188" s="16"/>
      <c r="H188" s="39"/>
      <c r="I188" s="39"/>
      <c r="J188" s="39"/>
      <c r="K188" s="39"/>
      <c r="L188" s="39"/>
      <c r="M188" s="39"/>
      <c r="N188" s="39"/>
      <c r="O188" s="39"/>
      <c r="P188" s="39"/>
      <c r="Q188" s="39"/>
      <c r="R188" s="16"/>
      <c r="S188" s="16"/>
      <c r="T188" s="16"/>
      <c r="U188" s="16"/>
      <c r="V188" s="16"/>
      <c r="W188" s="16"/>
      <c r="X188" s="16"/>
      <c r="Y188" s="16"/>
      <c r="Z188" s="16"/>
      <c r="AA188" s="16"/>
      <c r="AB188" s="16"/>
    </row>
    <row r="189" spans="3:28" ht="12.75">
      <c r="C189" s="16"/>
      <c r="D189" s="16"/>
      <c r="E189" s="16"/>
      <c r="F189" s="16"/>
      <c r="G189" s="16"/>
      <c r="H189" s="39"/>
      <c r="I189" s="39"/>
      <c r="J189" s="39"/>
      <c r="K189" s="39"/>
      <c r="L189" s="39"/>
      <c r="M189" s="39"/>
      <c r="N189" s="39"/>
      <c r="O189" s="39"/>
      <c r="P189" s="39"/>
      <c r="Q189" s="39"/>
      <c r="R189" s="16"/>
      <c r="S189" s="16"/>
      <c r="T189" s="16"/>
      <c r="U189" s="16"/>
      <c r="V189" s="16"/>
      <c r="W189" s="16"/>
      <c r="X189" s="16"/>
      <c r="Y189" s="16"/>
      <c r="Z189" s="16"/>
      <c r="AA189" s="16"/>
      <c r="AB189" s="16"/>
    </row>
    <row r="190" spans="3:28" ht="12.75">
      <c r="C190" s="16"/>
      <c r="D190" s="16"/>
      <c r="E190" s="16"/>
      <c r="F190" s="16"/>
      <c r="G190" s="16"/>
      <c r="H190" s="39"/>
      <c r="I190" s="39"/>
      <c r="J190" s="39"/>
      <c r="K190" s="39"/>
      <c r="L190" s="39"/>
      <c r="M190" s="39"/>
      <c r="N190" s="39"/>
      <c r="O190" s="39"/>
      <c r="P190" s="39"/>
      <c r="Q190" s="39"/>
      <c r="R190" s="16"/>
      <c r="S190" s="16"/>
      <c r="T190" s="16"/>
      <c r="U190" s="16"/>
      <c r="V190" s="16"/>
      <c r="W190" s="16"/>
      <c r="X190" s="16"/>
      <c r="Y190" s="16"/>
      <c r="Z190" s="16"/>
      <c r="AA190" s="16"/>
      <c r="AB190" s="16"/>
    </row>
    <row r="191" spans="3:28" ht="12.75">
      <c r="C191" s="16"/>
      <c r="D191" s="16"/>
      <c r="E191" s="16"/>
      <c r="F191" s="16"/>
      <c r="G191" s="16"/>
      <c r="H191" s="39"/>
      <c r="I191" s="39"/>
      <c r="J191" s="39"/>
      <c r="K191" s="39"/>
      <c r="L191" s="39"/>
      <c r="M191" s="39"/>
      <c r="N191" s="39"/>
      <c r="O191" s="39"/>
      <c r="P191" s="39"/>
      <c r="Q191" s="39"/>
      <c r="R191" s="16"/>
      <c r="S191" s="16"/>
      <c r="T191" s="16"/>
      <c r="U191" s="16"/>
      <c r="V191" s="16"/>
      <c r="W191" s="16"/>
      <c r="X191" s="16"/>
      <c r="Y191" s="16"/>
      <c r="Z191" s="16"/>
      <c r="AA191" s="16"/>
      <c r="AB191" s="16"/>
    </row>
    <row r="192" spans="3:28" ht="12.75">
      <c r="C192" s="16"/>
      <c r="D192" s="16"/>
      <c r="E192" s="16"/>
      <c r="F192" s="16"/>
      <c r="G192" s="16"/>
      <c r="H192" s="39"/>
      <c r="I192" s="39"/>
      <c r="J192" s="39"/>
      <c r="K192" s="39"/>
      <c r="L192" s="39"/>
      <c r="M192" s="39"/>
      <c r="N192" s="39"/>
      <c r="O192" s="39"/>
      <c r="P192" s="39"/>
      <c r="Q192" s="39"/>
      <c r="R192" s="16"/>
      <c r="S192" s="16"/>
      <c r="T192" s="16"/>
      <c r="U192" s="16"/>
      <c r="V192" s="16"/>
      <c r="W192" s="16"/>
      <c r="X192" s="16"/>
      <c r="Y192" s="16"/>
      <c r="Z192" s="16"/>
      <c r="AA192" s="16"/>
      <c r="AB192" s="16"/>
    </row>
    <row r="193" spans="3:28" ht="12.75">
      <c r="C193" s="16"/>
      <c r="D193" s="16"/>
      <c r="E193" s="16"/>
      <c r="F193" s="16"/>
      <c r="G193" s="16"/>
      <c r="H193" s="39"/>
      <c r="I193" s="39"/>
      <c r="J193" s="39"/>
      <c r="K193" s="39"/>
      <c r="L193" s="39"/>
      <c r="M193" s="39"/>
      <c r="N193" s="39"/>
      <c r="O193" s="39"/>
      <c r="P193" s="39"/>
      <c r="Q193" s="39"/>
      <c r="R193" s="16"/>
      <c r="S193" s="16"/>
      <c r="T193" s="16"/>
      <c r="U193" s="16"/>
      <c r="V193" s="16"/>
      <c r="W193" s="16"/>
      <c r="X193" s="16"/>
      <c r="Y193" s="16"/>
      <c r="Z193" s="16"/>
      <c r="AA193" s="16"/>
      <c r="AB193" s="16"/>
    </row>
    <row r="194" spans="3:28" ht="12.75">
      <c r="C194" s="16"/>
      <c r="D194" s="16"/>
      <c r="E194" s="16"/>
      <c r="F194" s="16"/>
      <c r="G194" s="16"/>
      <c r="H194" s="39"/>
      <c r="I194" s="39"/>
      <c r="J194" s="39"/>
      <c r="K194" s="39"/>
      <c r="L194" s="39"/>
      <c r="M194" s="39"/>
      <c r="N194" s="39"/>
      <c r="O194" s="39"/>
      <c r="P194" s="39"/>
      <c r="Q194" s="39"/>
      <c r="R194" s="16"/>
      <c r="S194" s="16"/>
      <c r="T194" s="16"/>
      <c r="U194" s="16"/>
      <c r="V194" s="16"/>
      <c r="W194" s="16"/>
      <c r="X194" s="16"/>
      <c r="Y194" s="16"/>
      <c r="Z194" s="16"/>
      <c r="AA194" s="16"/>
      <c r="AB194" s="16"/>
    </row>
    <row r="195" spans="3:28" ht="12.75">
      <c r="C195" s="16"/>
      <c r="D195" s="16"/>
      <c r="E195" s="16"/>
      <c r="F195" s="16"/>
      <c r="G195" s="16"/>
      <c r="H195" s="39"/>
      <c r="I195" s="39"/>
      <c r="J195" s="39"/>
      <c r="K195" s="39"/>
      <c r="L195" s="39"/>
      <c r="M195" s="39"/>
      <c r="N195" s="39"/>
      <c r="O195" s="39"/>
      <c r="P195" s="39"/>
      <c r="Q195" s="39"/>
      <c r="R195" s="16"/>
      <c r="S195" s="16"/>
      <c r="T195" s="16"/>
      <c r="U195" s="16"/>
      <c r="V195" s="16"/>
      <c r="W195" s="16"/>
      <c r="X195" s="16"/>
      <c r="Y195" s="16"/>
      <c r="Z195" s="16"/>
      <c r="AA195" s="16"/>
      <c r="AB195" s="16"/>
    </row>
    <row r="196" spans="3:28" ht="12.75">
      <c r="C196" s="16"/>
      <c r="D196" s="16"/>
      <c r="E196" s="16"/>
      <c r="F196" s="16"/>
      <c r="G196" s="16"/>
      <c r="H196" s="39"/>
      <c r="I196" s="39"/>
      <c r="J196" s="39"/>
      <c r="K196" s="39"/>
      <c r="L196" s="39"/>
      <c r="M196" s="39"/>
      <c r="N196" s="39"/>
      <c r="O196" s="39"/>
      <c r="P196" s="39"/>
      <c r="Q196" s="39"/>
      <c r="R196" s="16"/>
      <c r="S196" s="16"/>
      <c r="T196" s="16"/>
      <c r="U196" s="16"/>
      <c r="V196" s="16"/>
      <c r="W196" s="16"/>
      <c r="X196" s="16"/>
      <c r="Y196" s="16"/>
      <c r="Z196" s="16"/>
      <c r="AA196" s="16"/>
      <c r="AB196" s="16"/>
    </row>
    <row r="197" spans="3:28" ht="12.75">
      <c r="C197" s="16"/>
      <c r="D197" s="16"/>
      <c r="E197" s="16"/>
      <c r="F197" s="16"/>
      <c r="G197" s="16"/>
      <c r="H197" s="39"/>
      <c r="I197" s="39"/>
      <c r="J197" s="39"/>
      <c r="K197" s="39"/>
      <c r="L197" s="39"/>
      <c r="M197" s="39"/>
      <c r="N197" s="39"/>
      <c r="O197" s="39"/>
      <c r="P197" s="39"/>
      <c r="Q197" s="39"/>
      <c r="R197" s="16"/>
      <c r="S197" s="16"/>
      <c r="T197" s="16"/>
      <c r="U197" s="16"/>
      <c r="V197" s="16"/>
      <c r="W197" s="16"/>
      <c r="X197" s="16"/>
      <c r="Y197" s="16"/>
      <c r="Z197" s="16"/>
      <c r="AA197" s="16"/>
      <c r="AB197" s="16"/>
    </row>
    <row r="198" spans="3:28" ht="12.75">
      <c r="C198" s="16"/>
      <c r="D198" s="16"/>
      <c r="E198" s="16"/>
      <c r="F198" s="16"/>
      <c r="G198" s="16"/>
      <c r="H198" s="39"/>
      <c r="I198" s="39"/>
      <c r="J198" s="39"/>
      <c r="K198" s="39"/>
      <c r="L198" s="39"/>
      <c r="M198" s="39"/>
      <c r="N198" s="39"/>
      <c r="O198" s="39"/>
      <c r="P198" s="39"/>
      <c r="Q198" s="39"/>
      <c r="R198" s="16"/>
      <c r="S198" s="16"/>
      <c r="T198" s="16"/>
      <c r="U198" s="16"/>
      <c r="V198" s="16"/>
      <c r="W198" s="16"/>
      <c r="X198" s="16"/>
      <c r="Y198" s="16"/>
      <c r="Z198" s="16"/>
      <c r="AA198" s="16"/>
      <c r="AB198" s="16"/>
    </row>
    <row r="199" spans="3:28" ht="12.75">
      <c r="C199" s="16"/>
      <c r="D199" s="16"/>
      <c r="E199" s="16"/>
      <c r="F199" s="16"/>
      <c r="G199" s="16"/>
      <c r="H199" s="39"/>
      <c r="I199" s="39"/>
      <c r="J199" s="39"/>
      <c r="K199" s="39"/>
      <c r="L199" s="39"/>
      <c r="M199" s="39"/>
      <c r="N199" s="39"/>
      <c r="O199" s="39"/>
      <c r="P199" s="39"/>
      <c r="Q199" s="39"/>
      <c r="R199" s="16"/>
      <c r="S199" s="16"/>
      <c r="T199" s="16"/>
      <c r="U199" s="16"/>
      <c r="V199" s="16"/>
      <c r="W199" s="16"/>
      <c r="X199" s="16"/>
      <c r="Y199" s="16"/>
      <c r="Z199" s="16"/>
      <c r="AA199" s="16"/>
      <c r="AB199" s="16"/>
    </row>
    <row r="200" spans="3:28" ht="12.75">
      <c r="C200" s="16"/>
      <c r="D200" s="16"/>
      <c r="E200" s="16"/>
      <c r="F200" s="16"/>
      <c r="G200" s="16"/>
      <c r="H200" s="39"/>
      <c r="I200" s="39"/>
      <c r="J200" s="39"/>
      <c r="K200" s="39"/>
      <c r="L200" s="39"/>
      <c r="M200" s="39"/>
      <c r="N200" s="39"/>
      <c r="O200" s="39"/>
      <c r="P200" s="39"/>
      <c r="Q200" s="39"/>
      <c r="R200" s="16"/>
      <c r="S200" s="16"/>
      <c r="T200" s="16"/>
      <c r="U200" s="16"/>
      <c r="V200" s="16"/>
      <c r="W200" s="16"/>
      <c r="X200" s="16"/>
      <c r="Y200" s="16"/>
      <c r="Z200" s="16"/>
      <c r="AA200" s="16"/>
      <c r="AB200" s="16"/>
    </row>
    <row r="201" spans="3:28" ht="12.75">
      <c r="C201" s="16"/>
      <c r="D201" s="16"/>
      <c r="E201" s="16"/>
      <c r="F201" s="16"/>
      <c r="G201" s="16"/>
      <c r="H201" s="39"/>
      <c r="I201" s="39"/>
      <c r="J201" s="39"/>
      <c r="K201" s="39"/>
      <c r="L201" s="39"/>
      <c r="M201" s="39"/>
      <c r="N201" s="39"/>
      <c r="O201" s="39"/>
      <c r="P201" s="39"/>
      <c r="Q201" s="39"/>
      <c r="R201" s="16"/>
      <c r="S201" s="16"/>
      <c r="T201" s="16"/>
      <c r="U201" s="16"/>
      <c r="V201" s="16"/>
      <c r="W201" s="16"/>
      <c r="X201" s="16"/>
      <c r="Y201" s="16"/>
      <c r="Z201" s="16"/>
      <c r="AA201" s="16"/>
      <c r="AB201" s="16"/>
    </row>
    <row r="202" spans="3:28" ht="12.75">
      <c r="C202" s="16"/>
      <c r="D202" s="16"/>
      <c r="E202" s="16"/>
      <c r="F202" s="16"/>
      <c r="G202" s="16"/>
      <c r="H202" s="39"/>
      <c r="I202" s="39"/>
      <c r="J202" s="39"/>
      <c r="K202" s="39"/>
      <c r="L202" s="39"/>
      <c r="M202" s="39"/>
      <c r="N202" s="39"/>
      <c r="O202" s="39"/>
      <c r="P202" s="39"/>
      <c r="Q202" s="39"/>
      <c r="R202" s="16"/>
      <c r="S202" s="16"/>
      <c r="T202" s="16"/>
      <c r="U202" s="16"/>
      <c r="V202" s="16"/>
      <c r="W202" s="16"/>
      <c r="X202" s="16"/>
      <c r="Y202" s="16"/>
      <c r="Z202" s="16"/>
      <c r="AA202" s="16"/>
      <c r="AB202" s="16"/>
    </row>
    <row r="203" spans="3:28" ht="12.75">
      <c r="C203" s="16"/>
      <c r="D203" s="16"/>
      <c r="E203" s="16"/>
      <c r="F203" s="16"/>
      <c r="G203" s="16"/>
      <c r="H203" s="39"/>
      <c r="I203" s="39"/>
      <c r="J203" s="39"/>
      <c r="K203" s="39"/>
      <c r="L203" s="39"/>
      <c r="M203" s="39"/>
      <c r="N203" s="39"/>
      <c r="O203" s="39"/>
      <c r="P203" s="39"/>
      <c r="Q203" s="39"/>
      <c r="R203" s="16"/>
      <c r="S203" s="16"/>
      <c r="T203" s="16"/>
      <c r="U203" s="16"/>
      <c r="V203" s="16"/>
      <c r="W203" s="16"/>
      <c r="X203" s="16"/>
      <c r="Y203" s="16"/>
      <c r="Z203" s="16"/>
      <c r="AA203" s="16"/>
      <c r="AB203" s="16"/>
    </row>
    <row r="204" spans="3:28" ht="12.75">
      <c r="C204" s="16"/>
      <c r="D204" s="16"/>
      <c r="E204" s="16"/>
      <c r="F204" s="16"/>
      <c r="G204" s="16"/>
      <c r="H204" s="39"/>
      <c r="I204" s="39"/>
      <c r="J204" s="39"/>
      <c r="K204" s="39"/>
      <c r="L204" s="39"/>
      <c r="M204" s="39"/>
      <c r="N204" s="39"/>
      <c r="O204" s="39"/>
      <c r="P204" s="39"/>
      <c r="Q204" s="39"/>
      <c r="R204" s="16"/>
      <c r="S204" s="16"/>
      <c r="T204" s="16"/>
      <c r="U204" s="16"/>
      <c r="V204" s="16"/>
      <c r="W204" s="16"/>
      <c r="X204" s="16"/>
      <c r="Y204" s="16"/>
      <c r="Z204" s="16"/>
      <c r="AA204" s="16"/>
      <c r="AB204" s="16"/>
    </row>
    <row r="205" spans="3:28" ht="12.75">
      <c r="C205" s="16"/>
      <c r="D205" s="16"/>
      <c r="E205" s="16"/>
      <c r="F205" s="16"/>
      <c r="G205" s="16"/>
      <c r="H205" s="39"/>
      <c r="I205" s="39"/>
      <c r="J205" s="39"/>
      <c r="K205" s="39"/>
      <c r="L205" s="39"/>
      <c r="M205" s="39"/>
      <c r="N205" s="39"/>
      <c r="O205" s="39"/>
      <c r="P205" s="39"/>
      <c r="Q205" s="39"/>
      <c r="R205" s="16"/>
      <c r="S205" s="16"/>
      <c r="T205" s="16"/>
      <c r="U205" s="16"/>
      <c r="V205" s="16"/>
      <c r="W205" s="16"/>
      <c r="X205" s="16"/>
      <c r="Y205" s="16"/>
      <c r="Z205" s="16"/>
      <c r="AA205" s="16"/>
      <c r="AB205" s="16"/>
    </row>
    <row r="206" spans="3:28" ht="12.75">
      <c r="C206" s="16"/>
      <c r="D206" s="16"/>
      <c r="E206" s="16"/>
      <c r="F206" s="16"/>
      <c r="G206" s="16"/>
      <c r="H206" s="39"/>
      <c r="I206" s="39"/>
      <c r="J206" s="39"/>
      <c r="K206" s="39"/>
      <c r="L206" s="39"/>
      <c r="M206" s="39"/>
      <c r="N206" s="39"/>
      <c r="O206" s="39"/>
      <c r="P206" s="39"/>
      <c r="Q206" s="39"/>
      <c r="R206" s="16"/>
      <c r="S206" s="16"/>
      <c r="T206" s="16"/>
      <c r="U206" s="16"/>
      <c r="V206" s="16"/>
      <c r="W206" s="16"/>
      <c r="X206" s="16"/>
      <c r="Y206" s="16"/>
      <c r="Z206" s="16"/>
      <c r="AA206" s="16"/>
      <c r="AB206" s="16"/>
    </row>
    <row r="207" spans="3:28" ht="12.75">
      <c r="C207" s="16"/>
      <c r="D207" s="16"/>
      <c r="E207" s="16"/>
      <c r="F207" s="16"/>
      <c r="G207" s="16"/>
      <c r="H207" s="39"/>
      <c r="I207" s="39"/>
      <c r="J207" s="39"/>
      <c r="K207" s="39"/>
      <c r="L207" s="39"/>
      <c r="M207" s="39"/>
      <c r="N207" s="39"/>
      <c r="O207" s="39"/>
      <c r="P207" s="39"/>
      <c r="Q207" s="39"/>
      <c r="R207" s="16"/>
      <c r="S207" s="16"/>
      <c r="T207" s="16"/>
      <c r="U207" s="16"/>
      <c r="V207" s="16"/>
      <c r="W207" s="16"/>
      <c r="X207" s="16"/>
      <c r="Y207" s="16"/>
      <c r="Z207" s="16"/>
      <c r="AA207" s="16"/>
      <c r="AB207" s="16"/>
    </row>
    <row r="208" spans="3:28" ht="12.75">
      <c r="C208" s="16"/>
      <c r="D208" s="16"/>
      <c r="E208" s="16"/>
      <c r="F208" s="16"/>
      <c r="G208" s="16"/>
      <c r="H208" s="39"/>
      <c r="I208" s="39"/>
      <c r="J208" s="39"/>
      <c r="K208" s="39"/>
      <c r="L208" s="39"/>
      <c r="M208" s="39"/>
      <c r="N208" s="39"/>
      <c r="O208" s="39"/>
      <c r="P208" s="39"/>
      <c r="Q208" s="39"/>
      <c r="R208" s="16"/>
      <c r="S208" s="16"/>
      <c r="T208" s="16"/>
      <c r="U208" s="16"/>
      <c r="V208" s="16"/>
      <c r="W208" s="16"/>
      <c r="X208" s="16"/>
      <c r="Y208" s="16"/>
      <c r="Z208" s="16"/>
      <c r="AA208" s="16"/>
      <c r="AB208" s="16"/>
    </row>
    <row r="209" spans="3:28" ht="12.75">
      <c r="C209" s="16"/>
      <c r="D209" s="16"/>
      <c r="E209" s="16"/>
      <c r="F209" s="16"/>
      <c r="G209" s="16"/>
      <c r="H209" s="39"/>
      <c r="I209" s="39"/>
      <c r="J209" s="39"/>
      <c r="K209" s="39"/>
      <c r="L209" s="39"/>
      <c r="M209" s="39"/>
      <c r="N209" s="39"/>
      <c r="O209" s="39"/>
      <c r="P209" s="39"/>
      <c r="Q209" s="39"/>
      <c r="R209" s="16"/>
      <c r="S209" s="16"/>
      <c r="T209" s="16"/>
      <c r="U209" s="16"/>
      <c r="V209" s="16"/>
      <c r="W209" s="16"/>
      <c r="X209" s="16"/>
      <c r="Y209" s="16"/>
      <c r="Z209" s="16"/>
      <c r="AA209" s="16"/>
      <c r="AB209" s="16"/>
    </row>
    <row r="210" spans="3:28" ht="12.75">
      <c r="C210" s="16"/>
      <c r="D210" s="16"/>
      <c r="E210" s="16"/>
      <c r="F210" s="16"/>
      <c r="G210" s="16"/>
      <c r="H210" s="39"/>
      <c r="I210" s="39"/>
      <c r="J210" s="39"/>
      <c r="K210" s="39"/>
      <c r="L210" s="39"/>
      <c r="M210" s="39"/>
      <c r="N210" s="39"/>
      <c r="O210" s="39"/>
      <c r="P210" s="39"/>
      <c r="Q210" s="39"/>
      <c r="R210" s="16"/>
      <c r="S210" s="16"/>
      <c r="T210" s="16"/>
      <c r="U210" s="16"/>
      <c r="V210" s="16"/>
      <c r="W210" s="16"/>
      <c r="X210" s="16"/>
      <c r="Y210" s="16"/>
      <c r="Z210" s="16"/>
      <c r="AA210" s="16"/>
      <c r="AB210" s="16"/>
    </row>
    <row r="211" spans="3:28" ht="12.75">
      <c r="C211" s="16"/>
      <c r="D211" s="16"/>
      <c r="E211" s="16"/>
      <c r="F211" s="16"/>
      <c r="G211" s="16"/>
      <c r="H211" s="39"/>
      <c r="I211" s="39"/>
      <c r="J211" s="39"/>
      <c r="K211" s="39"/>
      <c r="L211" s="39"/>
      <c r="M211" s="39"/>
      <c r="N211" s="39"/>
      <c r="O211" s="39"/>
      <c r="P211" s="39"/>
      <c r="Q211" s="39"/>
      <c r="R211" s="16"/>
      <c r="S211" s="16"/>
      <c r="T211" s="16"/>
      <c r="U211" s="16"/>
      <c r="V211" s="16"/>
      <c r="W211" s="16"/>
      <c r="X211" s="16"/>
      <c r="Y211" s="16"/>
      <c r="Z211" s="16"/>
      <c r="AA211" s="16"/>
      <c r="AB211" s="16"/>
    </row>
    <row r="212" spans="3:28" ht="12.75">
      <c r="C212" s="16"/>
      <c r="D212" s="16"/>
      <c r="E212" s="16"/>
      <c r="F212" s="16"/>
      <c r="G212" s="16"/>
      <c r="H212" s="39"/>
      <c r="I212" s="39"/>
      <c r="J212" s="39"/>
      <c r="K212" s="39"/>
      <c r="L212" s="39"/>
      <c r="M212" s="39"/>
      <c r="N212" s="39"/>
      <c r="O212" s="39"/>
      <c r="P212" s="39"/>
      <c r="Q212" s="39"/>
      <c r="R212" s="16"/>
      <c r="S212" s="16"/>
      <c r="T212" s="16"/>
      <c r="U212" s="16"/>
      <c r="V212" s="16"/>
      <c r="W212" s="16"/>
      <c r="X212" s="16"/>
      <c r="Y212" s="16"/>
      <c r="Z212" s="16"/>
      <c r="AA212" s="16"/>
      <c r="AB212" s="16"/>
    </row>
    <row r="213" spans="3:28" ht="12.75">
      <c r="C213" s="16"/>
      <c r="D213" s="16"/>
      <c r="E213" s="16"/>
      <c r="F213" s="16"/>
      <c r="G213" s="16"/>
      <c r="H213" s="39"/>
      <c r="I213" s="39"/>
      <c r="J213" s="39"/>
      <c r="K213" s="39"/>
      <c r="L213" s="39"/>
      <c r="M213" s="39"/>
      <c r="N213" s="39"/>
      <c r="O213" s="39"/>
      <c r="P213" s="39"/>
      <c r="Q213" s="39"/>
      <c r="R213" s="16"/>
      <c r="S213" s="16"/>
      <c r="T213" s="16"/>
      <c r="U213" s="16"/>
      <c r="V213" s="16"/>
      <c r="W213" s="16"/>
      <c r="X213" s="16"/>
      <c r="Y213" s="16"/>
      <c r="Z213" s="16"/>
      <c r="AA213" s="16"/>
      <c r="AB213" s="16"/>
    </row>
    <row r="214" spans="3:28" ht="12.75">
      <c r="C214" s="16"/>
      <c r="D214" s="16"/>
      <c r="E214" s="16"/>
      <c r="F214" s="16"/>
      <c r="G214" s="16"/>
      <c r="H214" s="39"/>
      <c r="I214" s="39"/>
      <c r="J214" s="39"/>
      <c r="K214" s="39"/>
      <c r="L214" s="39"/>
      <c r="M214" s="39"/>
      <c r="N214" s="39"/>
      <c r="O214" s="39"/>
      <c r="P214" s="39"/>
      <c r="Q214" s="39"/>
      <c r="R214" s="16"/>
      <c r="S214" s="16"/>
      <c r="T214" s="16"/>
      <c r="U214" s="16"/>
      <c r="V214" s="16"/>
      <c r="W214" s="16"/>
      <c r="X214" s="16"/>
      <c r="Y214" s="16"/>
      <c r="Z214" s="16"/>
      <c r="AA214" s="16"/>
      <c r="AB214" s="16"/>
    </row>
    <row r="215" spans="3:28" ht="12.75">
      <c r="C215" s="16"/>
      <c r="D215" s="16"/>
      <c r="E215" s="16"/>
      <c r="F215" s="16"/>
      <c r="G215" s="16"/>
      <c r="H215" s="39"/>
      <c r="I215" s="39"/>
      <c r="J215" s="39"/>
      <c r="K215" s="39"/>
      <c r="L215" s="39"/>
      <c r="M215" s="39"/>
      <c r="N215" s="39"/>
      <c r="O215" s="39"/>
      <c r="P215" s="39"/>
      <c r="Q215" s="39"/>
      <c r="R215" s="16"/>
      <c r="S215" s="16"/>
      <c r="T215" s="16"/>
      <c r="U215" s="16"/>
      <c r="V215" s="16"/>
      <c r="W215" s="16"/>
      <c r="X215" s="16"/>
      <c r="Y215" s="16"/>
      <c r="Z215" s="16"/>
      <c r="AA215" s="16"/>
      <c r="AB215" s="16"/>
    </row>
    <row r="216" spans="3:28" ht="12.75">
      <c r="C216" s="16"/>
      <c r="D216" s="16"/>
      <c r="E216" s="16"/>
      <c r="F216" s="16"/>
      <c r="G216" s="16"/>
      <c r="H216" s="39"/>
      <c r="I216" s="39"/>
      <c r="J216" s="39"/>
      <c r="K216" s="39"/>
      <c r="L216" s="39"/>
      <c r="M216" s="39"/>
      <c r="N216" s="39"/>
      <c r="O216" s="39"/>
      <c r="P216" s="39"/>
      <c r="Q216" s="39"/>
      <c r="R216" s="16"/>
      <c r="S216" s="16"/>
      <c r="T216" s="16"/>
      <c r="U216" s="16"/>
      <c r="V216" s="16"/>
      <c r="W216" s="16"/>
      <c r="X216" s="16"/>
      <c r="Y216" s="16"/>
      <c r="Z216" s="16"/>
      <c r="AA216" s="16"/>
      <c r="AB216" s="16"/>
    </row>
    <row r="217" spans="3:28" ht="12.75">
      <c r="C217" s="16"/>
      <c r="D217" s="16"/>
      <c r="E217" s="16"/>
      <c r="F217" s="16"/>
      <c r="G217" s="16"/>
      <c r="H217" s="39"/>
      <c r="I217" s="39"/>
      <c r="J217" s="39"/>
      <c r="K217" s="39"/>
      <c r="L217" s="39"/>
      <c r="M217" s="39"/>
      <c r="N217" s="39"/>
      <c r="O217" s="39"/>
      <c r="P217" s="39"/>
      <c r="Q217" s="39"/>
      <c r="R217" s="16"/>
      <c r="S217" s="16"/>
      <c r="T217" s="16"/>
      <c r="U217" s="16"/>
      <c r="V217" s="16"/>
      <c r="W217" s="16"/>
      <c r="X217" s="16"/>
      <c r="Y217" s="16"/>
      <c r="Z217" s="16"/>
      <c r="AA217" s="16"/>
      <c r="AB217" s="16"/>
    </row>
    <row r="218" spans="3:28" ht="12.75">
      <c r="C218" s="16"/>
      <c r="D218" s="16"/>
      <c r="E218" s="16"/>
      <c r="F218" s="16"/>
      <c r="G218" s="16"/>
      <c r="H218" s="39"/>
      <c r="I218" s="39"/>
      <c r="J218" s="39"/>
      <c r="K218" s="39"/>
      <c r="L218" s="39"/>
      <c r="M218" s="39"/>
      <c r="N218" s="39"/>
      <c r="O218" s="39"/>
      <c r="P218" s="39"/>
      <c r="Q218" s="39"/>
      <c r="R218" s="16"/>
      <c r="S218" s="16"/>
      <c r="T218" s="16"/>
      <c r="U218" s="16"/>
      <c r="V218" s="16"/>
      <c r="W218" s="16"/>
      <c r="X218" s="16"/>
      <c r="Y218" s="16"/>
      <c r="Z218" s="16"/>
      <c r="AA218" s="16"/>
      <c r="AB218" s="16"/>
    </row>
    <row r="219" spans="3:28" ht="12.75">
      <c r="C219" s="16"/>
      <c r="D219" s="16"/>
      <c r="E219" s="16"/>
      <c r="F219" s="16"/>
      <c r="G219" s="16"/>
      <c r="H219" s="39"/>
      <c r="I219" s="39"/>
      <c r="J219" s="39"/>
      <c r="K219" s="39"/>
      <c r="L219" s="39"/>
      <c r="M219" s="39"/>
      <c r="N219" s="39"/>
      <c r="O219" s="39"/>
      <c r="P219" s="39"/>
      <c r="Q219" s="39"/>
      <c r="R219" s="16"/>
      <c r="S219" s="16"/>
      <c r="T219" s="16"/>
      <c r="U219" s="16"/>
      <c r="V219" s="16"/>
      <c r="W219" s="16"/>
      <c r="X219" s="16"/>
      <c r="Y219" s="16"/>
      <c r="Z219" s="16"/>
      <c r="AA219" s="16"/>
      <c r="AB219" s="16"/>
    </row>
    <row r="220" spans="3:28" ht="12.75">
      <c r="C220" s="16"/>
      <c r="D220" s="16"/>
      <c r="E220" s="16"/>
      <c r="F220" s="16"/>
      <c r="G220" s="16"/>
      <c r="H220" s="39"/>
      <c r="I220" s="39"/>
      <c r="J220" s="39"/>
      <c r="K220" s="39"/>
      <c r="L220" s="39"/>
      <c r="M220" s="39"/>
      <c r="N220" s="39"/>
      <c r="O220" s="39"/>
      <c r="P220" s="39"/>
      <c r="Q220" s="39"/>
      <c r="R220" s="16"/>
      <c r="S220" s="16"/>
      <c r="T220" s="16"/>
      <c r="U220" s="16"/>
      <c r="V220" s="16"/>
      <c r="W220" s="16"/>
      <c r="X220" s="16"/>
      <c r="Y220" s="16"/>
      <c r="Z220" s="16"/>
      <c r="AA220" s="16"/>
      <c r="AB220" s="16"/>
    </row>
    <row r="221" spans="3:28" ht="12.75">
      <c r="C221" s="16"/>
      <c r="D221" s="16"/>
      <c r="E221" s="16"/>
      <c r="F221" s="16"/>
      <c r="G221" s="16"/>
      <c r="H221" s="39"/>
      <c r="I221" s="39"/>
      <c r="J221" s="39"/>
      <c r="K221" s="39"/>
      <c r="L221" s="39"/>
      <c r="M221" s="39"/>
      <c r="N221" s="39"/>
      <c r="O221" s="39"/>
      <c r="P221" s="39"/>
      <c r="Q221" s="39"/>
      <c r="R221" s="16"/>
      <c r="S221" s="16"/>
      <c r="T221" s="16"/>
      <c r="U221" s="16"/>
      <c r="V221" s="16"/>
      <c r="W221" s="16"/>
      <c r="X221" s="16"/>
      <c r="Y221" s="16"/>
      <c r="Z221" s="16"/>
      <c r="AA221" s="16"/>
      <c r="AB221" s="16"/>
    </row>
    <row r="222" spans="3:28" ht="12.75">
      <c r="C222" s="16"/>
      <c r="D222" s="16"/>
      <c r="E222" s="16"/>
      <c r="F222" s="16"/>
      <c r="G222" s="16"/>
      <c r="H222" s="39"/>
      <c r="I222" s="39"/>
      <c r="J222" s="39"/>
      <c r="K222" s="39"/>
      <c r="L222" s="39"/>
      <c r="M222" s="39"/>
      <c r="N222" s="39"/>
      <c r="O222" s="39"/>
      <c r="P222" s="39"/>
      <c r="Q222" s="39"/>
      <c r="R222" s="16"/>
      <c r="S222" s="16"/>
      <c r="T222" s="16"/>
      <c r="U222" s="16"/>
      <c r="V222" s="16"/>
      <c r="W222" s="16"/>
      <c r="X222" s="16"/>
      <c r="Y222" s="16"/>
      <c r="Z222" s="16"/>
      <c r="AA222" s="16"/>
      <c r="AB222" s="16"/>
    </row>
    <row r="223" spans="3:28" ht="12.75">
      <c r="C223" s="16"/>
      <c r="D223" s="16"/>
      <c r="E223" s="16"/>
      <c r="F223" s="16"/>
      <c r="G223" s="16"/>
      <c r="H223" s="39"/>
      <c r="I223" s="39"/>
      <c r="J223" s="39"/>
      <c r="K223" s="39"/>
      <c r="L223" s="39"/>
      <c r="M223" s="39"/>
      <c r="N223" s="39"/>
      <c r="O223" s="39"/>
      <c r="P223" s="39"/>
      <c r="Q223" s="39"/>
      <c r="R223" s="16"/>
      <c r="S223" s="16"/>
      <c r="T223" s="16"/>
      <c r="U223" s="16"/>
      <c r="V223" s="16"/>
      <c r="W223" s="16"/>
      <c r="X223" s="16"/>
      <c r="Y223" s="16"/>
      <c r="Z223" s="16"/>
      <c r="AA223" s="16"/>
      <c r="AB223" s="16"/>
    </row>
    <row r="224" spans="3:28" ht="12.75">
      <c r="C224" s="16"/>
      <c r="D224" s="16"/>
      <c r="E224" s="16"/>
      <c r="F224" s="16"/>
      <c r="G224" s="16"/>
      <c r="H224" s="39"/>
      <c r="I224" s="39"/>
      <c r="J224" s="39"/>
      <c r="K224" s="39"/>
      <c r="L224" s="39"/>
      <c r="M224" s="39"/>
      <c r="N224" s="39"/>
      <c r="O224" s="39"/>
      <c r="P224" s="39"/>
      <c r="Q224" s="39"/>
      <c r="R224" s="16"/>
      <c r="S224" s="16"/>
      <c r="T224" s="16"/>
      <c r="U224" s="16"/>
      <c r="V224" s="16"/>
      <c r="W224" s="16"/>
      <c r="X224" s="16"/>
      <c r="Y224" s="16"/>
      <c r="Z224" s="16"/>
      <c r="AA224" s="16"/>
      <c r="AB224" s="16"/>
    </row>
    <row r="225" spans="3:28" ht="12.75">
      <c r="C225" s="16"/>
      <c r="D225" s="16"/>
      <c r="E225" s="16"/>
      <c r="F225" s="16"/>
      <c r="G225" s="16"/>
      <c r="H225" s="39"/>
      <c r="I225" s="39"/>
      <c r="J225" s="39"/>
      <c r="K225" s="39"/>
      <c r="L225" s="39"/>
      <c r="M225" s="39"/>
      <c r="N225" s="39"/>
      <c r="O225" s="39"/>
      <c r="P225" s="39"/>
      <c r="Q225" s="39"/>
      <c r="R225" s="16"/>
      <c r="S225" s="16"/>
      <c r="T225" s="16"/>
      <c r="U225" s="16"/>
      <c r="V225" s="16"/>
      <c r="W225" s="16"/>
      <c r="X225" s="16"/>
      <c r="Y225" s="16"/>
      <c r="Z225" s="16"/>
      <c r="AA225" s="16"/>
      <c r="AB225" s="16"/>
    </row>
    <row r="226" spans="3:28" ht="12.75">
      <c r="C226" s="16"/>
      <c r="D226" s="16"/>
      <c r="E226" s="16"/>
      <c r="F226" s="16"/>
      <c r="G226" s="16"/>
      <c r="H226" s="39"/>
      <c r="I226" s="39"/>
      <c r="J226" s="39"/>
      <c r="K226" s="39"/>
      <c r="L226" s="39"/>
      <c r="M226" s="39"/>
      <c r="N226" s="39"/>
      <c r="O226" s="39"/>
      <c r="P226" s="39"/>
      <c r="Q226" s="39"/>
      <c r="R226" s="16"/>
      <c r="S226" s="16"/>
      <c r="T226" s="16"/>
      <c r="U226" s="16"/>
      <c r="V226" s="16"/>
      <c r="W226" s="16"/>
      <c r="X226" s="16"/>
      <c r="Y226" s="16"/>
      <c r="Z226" s="16"/>
      <c r="AA226" s="16"/>
      <c r="AB226" s="16"/>
    </row>
    <row r="227" spans="3:28" ht="12.75">
      <c r="C227" s="16"/>
      <c r="D227" s="16"/>
      <c r="E227" s="16"/>
      <c r="F227" s="16"/>
      <c r="G227" s="16"/>
      <c r="H227" s="39"/>
      <c r="I227" s="39"/>
      <c r="J227" s="39"/>
      <c r="K227" s="39"/>
      <c r="L227" s="39"/>
      <c r="M227" s="39"/>
      <c r="N227" s="39"/>
      <c r="O227" s="39"/>
      <c r="P227" s="39"/>
      <c r="Q227" s="39"/>
      <c r="R227" s="16"/>
      <c r="S227" s="16"/>
      <c r="T227" s="16"/>
      <c r="U227" s="16"/>
      <c r="V227" s="16"/>
      <c r="W227" s="16"/>
      <c r="X227" s="16"/>
      <c r="Y227" s="16"/>
      <c r="Z227" s="16"/>
      <c r="AA227" s="16"/>
      <c r="AB227" s="16"/>
    </row>
    <row r="228" spans="3:28" ht="12.75">
      <c r="C228" s="16"/>
      <c r="D228" s="16"/>
      <c r="E228" s="16"/>
      <c r="F228" s="16"/>
      <c r="G228" s="16"/>
      <c r="H228" s="39"/>
      <c r="I228" s="39"/>
      <c r="J228" s="39"/>
      <c r="K228" s="39"/>
      <c r="L228" s="39"/>
      <c r="M228" s="39"/>
      <c r="N228" s="39"/>
      <c r="O228" s="39"/>
      <c r="P228" s="39"/>
      <c r="Q228" s="39"/>
      <c r="R228" s="16"/>
      <c r="S228" s="16"/>
      <c r="T228" s="16"/>
      <c r="U228" s="16"/>
      <c r="V228" s="16"/>
      <c r="W228" s="16"/>
      <c r="X228" s="16"/>
      <c r="Y228" s="16"/>
      <c r="Z228" s="16"/>
      <c r="AA228" s="16"/>
      <c r="AB228" s="16"/>
    </row>
    <row r="229" spans="3:28" ht="12.75">
      <c r="C229" s="16"/>
      <c r="D229" s="16"/>
      <c r="E229" s="16"/>
      <c r="F229" s="16"/>
      <c r="G229" s="16"/>
      <c r="H229" s="39"/>
      <c r="I229" s="39"/>
      <c r="J229" s="39"/>
      <c r="K229" s="39"/>
      <c r="L229" s="39"/>
      <c r="M229" s="39"/>
      <c r="N229" s="39"/>
      <c r="O229" s="39"/>
      <c r="P229" s="39"/>
      <c r="Q229" s="39"/>
      <c r="R229" s="16"/>
      <c r="S229" s="16"/>
      <c r="T229" s="16"/>
      <c r="U229" s="16"/>
      <c r="V229" s="16"/>
      <c r="W229" s="16"/>
      <c r="X229" s="16"/>
      <c r="Y229" s="16"/>
      <c r="Z229" s="16"/>
      <c r="AA229" s="16"/>
      <c r="AB229" s="16"/>
    </row>
    <row r="230" spans="3:28" ht="12.75">
      <c r="C230" s="16"/>
      <c r="D230" s="16"/>
      <c r="E230" s="16"/>
      <c r="F230" s="16"/>
      <c r="G230" s="16"/>
      <c r="H230" s="39"/>
      <c r="I230" s="39"/>
      <c r="J230" s="39"/>
      <c r="K230" s="39"/>
      <c r="L230" s="39"/>
      <c r="M230" s="39"/>
      <c r="N230" s="39"/>
      <c r="O230" s="39"/>
      <c r="P230" s="39"/>
      <c r="Q230" s="39"/>
      <c r="R230" s="16"/>
      <c r="S230" s="16"/>
      <c r="T230" s="16"/>
      <c r="U230" s="16"/>
      <c r="V230" s="16"/>
      <c r="W230" s="16"/>
      <c r="X230" s="16"/>
      <c r="Y230" s="16"/>
      <c r="Z230" s="16"/>
      <c r="AA230" s="16"/>
      <c r="AB230" s="16"/>
    </row>
    <row r="231" spans="3:28" ht="12.75">
      <c r="C231" s="16"/>
      <c r="D231" s="16"/>
      <c r="E231" s="16"/>
      <c r="F231" s="16"/>
      <c r="G231" s="16"/>
      <c r="H231" s="39"/>
      <c r="I231" s="39"/>
      <c r="J231" s="39"/>
      <c r="K231" s="39"/>
      <c r="L231" s="39"/>
      <c r="M231" s="39"/>
      <c r="N231" s="39"/>
      <c r="O231" s="39"/>
      <c r="P231" s="39"/>
      <c r="Q231" s="39"/>
      <c r="R231" s="16"/>
      <c r="S231" s="16"/>
      <c r="T231" s="16"/>
      <c r="U231" s="16"/>
      <c r="V231" s="16"/>
      <c r="W231" s="16"/>
      <c r="X231" s="16"/>
      <c r="Y231" s="16"/>
      <c r="Z231" s="16"/>
      <c r="AA231" s="16"/>
      <c r="AB231" s="16"/>
    </row>
    <row r="232" spans="3:28" ht="12.75">
      <c r="C232" s="16"/>
      <c r="D232" s="16"/>
      <c r="E232" s="16"/>
      <c r="F232" s="16"/>
      <c r="G232" s="16"/>
      <c r="H232" s="39"/>
      <c r="I232" s="39"/>
      <c r="J232" s="39"/>
      <c r="K232" s="39"/>
      <c r="L232" s="39"/>
      <c r="M232" s="39"/>
      <c r="N232" s="39"/>
      <c r="O232" s="39"/>
      <c r="P232" s="39"/>
      <c r="Q232" s="39"/>
      <c r="R232" s="16"/>
      <c r="S232" s="16"/>
      <c r="T232" s="16"/>
      <c r="U232" s="16"/>
      <c r="V232" s="16"/>
      <c r="W232" s="16"/>
      <c r="X232" s="16"/>
      <c r="Y232" s="16"/>
      <c r="Z232" s="16"/>
      <c r="AA232" s="16"/>
      <c r="AB232" s="16"/>
    </row>
    <row r="233" spans="3:28" ht="12.75">
      <c r="C233" s="16"/>
      <c r="D233" s="16"/>
      <c r="E233" s="16"/>
      <c r="F233" s="16"/>
      <c r="G233" s="16"/>
      <c r="H233" s="39"/>
      <c r="I233" s="39"/>
      <c r="J233" s="39"/>
      <c r="K233" s="39"/>
      <c r="L233" s="39"/>
      <c r="M233" s="39"/>
      <c r="N233" s="39"/>
      <c r="O233" s="39"/>
      <c r="P233" s="39"/>
      <c r="Q233" s="39"/>
      <c r="R233" s="16"/>
      <c r="S233" s="16"/>
      <c r="T233" s="16"/>
      <c r="U233" s="16"/>
      <c r="V233" s="16"/>
      <c r="W233" s="16"/>
      <c r="X233" s="16"/>
      <c r="Y233" s="16"/>
      <c r="Z233" s="16"/>
      <c r="AA233" s="16"/>
      <c r="AB233" s="16"/>
    </row>
    <row r="234" spans="3:28" ht="12.75">
      <c r="C234" s="16"/>
      <c r="D234" s="16"/>
      <c r="E234" s="16"/>
      <c r="F234" s="16"/>
      <c r="G234" s="16"/>
      <c r="H234" s="39"/>
      <c r="I234" s="39"/>
      <c r="J234" s="39"/>
      <c r="K234" s="39"/>
      <c r="L234" s="39"/>
      <c r="M234" s="39"/>
      <c r="N234" s="39"/>
      <c r="O234" s="39"/>
      <c r="P234" s="39"/>
      <c r="Q234" s="39"/>
      <c r="R234" s="16"/>
      <c r="S234" s="16"/>
      <c r="T234" s="16"/>
      <c r="U234" s="16"/>
      <c r="V234" s="16"/>
      <c r="W234" s="16"/>
      <c r="X234" s="16"/>
      <c r="Y234" s="16"/>
      <c r="Z234" s="16"/>
      <c r="AA234" s="16"/>
      <c r="AB234" s="16"/>
    </row>
    <row r="235" spans="3:28" ht="12.75">
      <c r="C235" s="16"/>
      <c r="D235" s="16"/>
      <c r="E235" s="16"/>
      <c r="F235" s="16"/>
      <c r="G235" s="16"/>
      <c r="H235" s="39"/>
      <c r="I235" s="39"/>
      <c r="J235" s="39"/>
      <c r="K235" s="39"/>
      <c r="L235" s="39"/>
      <c r="M235" s="39"/>
      <c r="N235" s="39"/>
      <c r="O235" s="39"/>
      <c r="P235" s="39"/>
      <c r="Q235" s="39"/>
      <c r="R235" s="16"/>
      <c r="S235" s="16"/>
      <c r="T235" s="16"/>
      <c r="U235" s="16"/>
      <c r="V235" s="16"/>
      <c r="W235" s="16"/>
      <c r="X235" s="16"/>
      <c r="Y235" s="16"/>
      <c r="Z235" s="16"/>
      <c r="AA235" s="16"/>
      <c r="AB235" s="16"/>
    </row>
    <row r="236" spans="3:28" ht="12.75">
      <c r="C236" s="16"/>
      <c r="D236" s="16"/>
      <c r="E236" s="16"/>
      <c r="F236" s="16"/>
      <c r="G236" s="16"/>
      <c r="H236" s="39"/>
      <c r="I236" s="39"/>
      <c r="J236" s="39"/>
      <c r="K236" s="39"/>
      <c r="L236" s="39"/>
      <c r="M236" s="39"/>
      <c r="N236" s="39"/>
      <c r="O236" s="39"/>
      <c r="P236" s="39"/>
      <c r="Q236" s="39"/>
      <c r="R236" s="16"/>
      <c r="S236" s="16"/>
      <c r="T236" s="16"/>
      <c r="U236" s="16"/>
      <c r="V236" s="16"/>
      <c r="W236" s="16"/>
      <c r="X236" s="16"/>
      <c r="Y236" s="16"/>
      <c r="Z236" s="16"/>
      <c r="AA236" s="16"/>
      <c r="AB236" s="16"/>
    </row>
    <row r="237" spans="3:28" ht="12.75">
      <c r="C237" s="16"/>
      <c r="D237" s="16"/>
      <c r="E237" s="16"/>
      <c r="F237" s="16"/>
      <c r="G237" s="16"/>
      <c r="H237" s="39"/>
      <c r="I237" s="39"/>
      <c r="J237" s="39"/>
      <c r="K237" s="39"/>
      <c r="L237" s="39"/>
      <c r="M237" s="39"/>
      <c r="N237" s="39"/>
      <c r="O237" s="39"/>
      <c r="P237" s="39"/>
      <c r="Q237" s="39"/>
      <c r="R237" s="16"/>
      <c r="S237" s="16"/>
      <c r="T237" s="16"/>
      <c r="U237" s="16"/>
      <c r="V237" s="16"/>
      <c r="W237" s="16"/>
      <c r="X237" s="16"/>
      <c r="Y237" s="16"/>
      <c r="Z237" s="16"/>
      <c r="AA237" s="16"/>
      <c r="AB237" s="16"/>
    </row>
    <row r="238" spans="3:28" ht="12.75">
      <c r="C238" s="16"/>
      <c r="D238" s="16"/>
      <c r="E238" s="16"/>
      <c r="F238" s="16"/>
      <c r="G238" s="16"/>
      <c r="H238" s="39"/>
      <c r="I238" s="39"/>
      <c r="J238" s="39"/>
      <c r="K238" s="39"/>
      <c r="L238" s="39"/>
      <c r="M238" s="39"/>
      <c r="N238" s="39"/>
      <c r="O238" s="39"/>
      <c r="P238" s="39"/>
      <c r="Q238" s="39"/>
      <c r="R238" s="16"/>
      <c r="S238" s="16"/>
      <c r="T238" s="16"/>
      <c r="U238" s="16"/>
      <c r="V238" s="16"/>
      <c r="W238" s="16"/>
      <c r="X238" s="16"/>
      <c r="Y238" s="16"/>
      <c r="Z238" s="16"/>
      <c r="AA238" s="16"/>
      <c r="AB238" s="16"/>
    </row>
    <row r="239" spans="3:28" ht="12.75">
      <c r="C239" s="16"/>
      <c r="D239" s="16"/>
      <c r="E239" s="16"/>
      <c r="F239" s="16"/>
      <c r="G239" s="16"/>
      <c r="H239" s="39"/>
      <c r="I239" s="39"/>
      <c r="J239" s="39"/>
      <c r="K239" s="39"/>
      <c r="L239" s="39"/>
      <c r="M239" s="39"/>
      <c r="N239" s="39"/>
      <c r="O239" s="39"/>
      <c r="P239" s="39"/>
      <c r="Q239" s="39"/>
      <c r="R239" s="16"/>
      <c r="S239" s="16"/>
      <c r="T239" s="16"/>
      <c r="U239" s="16"/>
      <c r="V239" s="16"/>
      <c r="W239" s="16"/>
      <c r="X239" s="16"/>
      <c r="Y239" s="16"/>
      <c r="Z239" s="16"/>
      <c r="AA239" s="16"/>
      <c r="AB239" s="16"/>
    </row>
    <row r="240" spans="3:28" ht="12.75">
      <c r="C240" s="16"/>
      <c r="D240" s="16"/>
      <c r="E240" s="16"/>
      <c r="F240" s="16"/>
      <c r="G240" s="16"/>
      <c r="H240" s="39"/>
      <c r="I240" s="39"/>
      <c r="J240" s="39"/>
      <c r="K240" s="39"/>
      <c r="L240" s="39"/>
      <c r="M240" s="39"/>
      <c r="N240" s="39"/>
      <c r="O240" s="39"/>
      <c r="P240" s="39"/>
      <c r="Q240" s="39"/>
      <c r="R240" s="16"/>
      <c r="S240" s="16"/>
      <c r="T240" s="16"/>
      <c r="U240" s="16"/>
      <c r="V240" s="16"/>
      <c r="W240" s="16"/>
      <c r="X240" s="16"/>
      <c r="Y240" s="16"/>
      <c r="Z240" s="16"/>
      <c r="AA240" s="16"/>
      <c r="AB240" s="16"/>
    </row>
    <row r="241" spans="3:28" ht="12.75">
      <c r="C241" s="16"/>
      <c r="D241" s="16"/>
      <c r="E241" s="16"/>
      <c r="F241" s="16"/>
      <c r="G241" s="16"/>
      <c r="H241" s="39"/>
      <c r="I241" s="39"/>
      <c r="J241" s="39"/>
      <c r="K241" s="39"/>
      <c r="L241" s="39"/>
      <c r="M241" s="39"/>
      <c r="N241" s="39"/>
      <c r="O241" s="39"/>
      <c r="P241" s="39"/>
      <c r="Q241" s="39"/>
      <c r="R241" s="16"/>
      <c r="S241" s="16"/>
      <c r="T241" s="16"/>
      <c r="U241" s="16"/>
      <c r="V241" s="16"/>
      <c r="W241" s="16"/>
      <c r="X241" s="16"/>
      <c r="Y241" s="16"/>
      <c r="Z241" s="16"/>
      <c r="AA241" s="16"/>
      <c r="AB241" s="16"/>
    </row>
    <row r="242" spans="3:28" ht="12.75">
      <c r="C242" s="16"/>
      <c r="D242" s="16"/>
      <c r="E242" s="16"/>
      <c r="F242" s="16"/>
      <c r="G242" s="16"/>
      <c r="H242" s="39"/>
      <c r="I242" s="39"/>
      <c r="J242" s="39"/>
      <c r="K242" s="39"/>
      <c r="L242" s="39"/>
      <c r="M242" s="39"/>
      <c r="N242" s="39"/>
      <c r="O242" s="39"/>
      <c r="P242" s="39"/>
      <c r="Q242" s="39"/>
      <c r="R242" s="16"/>
      <c r="S242" s="16"/>
      <c r="T242" s="16"/>
      <c r="U242" s="16"/>
      <c r="V242" s="16"/>
      <c r="W242" s="16"/>
      <c r="X242" s="16"/>
      <c r="Y242" s="16"/>
      <c r="Z242" s="16"/>
      <c r="AA242" s="16"/>
      <c r="AB242" s="16"/>
    </row>
    <row r="243" spans="3:28" ht="12.75">
      <c r="C243" s="16"/>
      <c r="D243" s="16"/>
      <c r="E243" s="16"/>
      <c r="F243" s="16"/>
      <c r="G243" s="16"/>
      <c r="H243" s="39"/>
      <c r="I243" s="39"/>
      <c r="J243" s="39"/>
      <c r="K243" s="39"/>
      <c r="L243" s="39"/>
      <c r="M243" s="39"/>
      <c r="N243" s="39"/>
      <c r="O243" s="39"/>
      <c r="P243" s="39"/>
      <c r="Q243" s="39"/>
      <c r="R243" s="16"/>
      <c r="S243" s="16"/>
      <c r="T243" s="16"/>
      <c r="U243" s="16"/>
      <c r="V243" s="16"/>
      <c r="W243" s="16"/>
      <c r="X243" s="16"/>
      <c r="Y243" s="16"/>
      <c r="Z243" s="16"/>
      <c r="AA243" s="16"/>
      <c r="AB243" s="16"/>
    </row>
    <row r="244" spans="3:28" ht="12.75">
      <c r="C244" s="16"/>
      <c r="D244" s="16"/>
      <c r="E244" s="16"/>
      <c r="F244" s="16"/>
      <c r="G244" s="16"/>
      <c r="H244" s="39"/>
      <c r="I244" s="39"/>
      <c r="J244" s="39"/>
      <c r="K244" s="39"/>
      <c r="L244" s="39"/>
      <c r="M244" s="39"/>
      <c r="N244" s="39"/>
      <c r="O244" s="39"/>
      <c r="P244" s="39"/>
      <c r="Q244" s="39"/>
      <c r="R244" s="16"/>
      <c r="S244" s="16"/>
      <c r="T244" s="16"/>
      <c r="U244" s="16"/>
      <c r="V244" s="16"/>
      <c r="W244" s="16"/>
      <c r="X244" s="16"/>
      <c r="Y244" s="16"/>
      <c r="Z244" s="16"/>
      <c r="AA244" s="16"/>
      <c r="AB244" s="16"/>
    </row>
    <row r="245" spans="3:28" ht="12.75">
      <c r="C245" s="16"/>
      <c r="D245" s="16"/>
      <c r="E245" s="16"/>
      <c r="F245" s="16"/>
      <c r="G245" s="16"/>
      <c r="H245" s="39"/>
      <c r="I245" s="39"/>
      <c r="J245" s="39"/>
      <c r="K245" s="39"/>
      <c r="L245" s="39"/>
      <c r="M245" s="39"/>
      <c r="N245" s="39"/>
      <c r="O245" s="39"/>
      <c r="P245" s="39"/>
      <c r="Q245" s="39"/>
      <c r="R245" s="16"/>
      <c r="S245" s="16"/>
      <c r="T245" s="16"/>
      <c r="U245" s="16"/>
      <c r="V245" s="16"/>
      <c r="W245" s="16"/>
      <c r="X245" s="16"/>
      <c r="Y245" s="16"/>
      <c r="Z245" s="16"/>
      <c r="AA245" s="16"/>
      <c r="AB245" s="16"/>
    </row>
    <row r="246" spans="3:28" ht="12.75">
      <c r="C246" s="16"/>
      <c r="D246" s="16"/>
      <c r="E246" s="16"/>
      <c r="F246" s="16"/>
      <c r="G246" s="16"/>
      <c r="H246" s="39"/>
      <c r="I246" s="39"/>
      <c r="J246" s="39"/>
      <c r="K246" s="39"/>
      <c r="L246" s="39"/>
      <c r="M246" s="39"/>
      <c r="N246" s="39"/>
      <c r="O246" s="39"/>
      <c r="P246" s="39"/>
      <c r="Q246" s="39"/>
      <c r="R246" s="16"/>
      <c r="S246" s="16"/>
      <c r="T246" s="16"/>
      <c r="U246" s="16"/>
      <c r="V246" s="16"/>
      <c r="W246" s="16"/>
      <c r="X246" s="16"/>
      <c r="Y246" s="16"/>
      <c r="Z246" s="16"/>
      <c r="AA246" s="16"/>
      <c r="AB246" s="16"/>
    </row>
    <row r="247" spans="3:28" ht="12.75">
      <c r="C247" s="16"/>
      <c r="D247" s="16"/>
      <c r="E247" s="16"/>
      <c r="F247" s="16"/>
      <c r="G247" s="16"/>
      <c r="H247" s="39"/>
      <c r="I247" s="39"/>
      <c r="J247" s="39"/>
      <c r="K247" s="39"/>
      <c r="L247" s="39"/>
      <c r="M247" s="39"/>
      <c r="N247" s="39"/>
      <c r="O247" s="39"/>
      <c r="P247" s="39"/>
      <c r="Q247" s="39"/>
      <c r="R247" s="16"/>
      <c r="S247" s="16"/>
      <c r="T247" s="16"/>
      <c r="U247" s="16"/>
      <c r="V247" s="16"/>
      <c r="W247" s="16"/>
      <c r="X247" s="16"/>
      <c r="Y247" s="16"/>
      <c r="Z247" s="16"/>
      <c r="AA247" s="16"/>
      <c r="AB247" s="16"/>
    </row>
    <row r="248" spans="3:28" ht="12.75">
      <c r="C248" s="16"/>
      <c r="D248" s="16"/>
      <c r="E248" s="16"/>
      <c r="F248" s="16"/>
      <c r="G248" s="16"/>
      <c r="H248" s="39"/>
      <c r="I248" s="39"/>
      <c r="J248" s="39"/>
      <c r="K248" s="39"/>
      <c r="L248" s="39"/>
      <c r="M248" s="39"/>
      <c r="N248" s="39"/>
      <c r="O248" s="39"/>
      <c r="P248" s="39"/>
      <c r="Q248" s="39"/>
      <c r="R248" s="16"/>
      <c r="S248" s="16"/>
      <c r="T248" s="16"/>
      <c r="U248" s="16"/>
      <c r="V248" s="16"/>
      <c r="W248" s="16"/>
      <c r="X248" s="16"/>
      <c r="Y248" s="16"/>
      <c r="Z248" s="16"/>
      <c r="AA248" s="16"/>
      <c r="AB248" s="16"/>
    </row>
    <row r="249" spans="3:28" ht="12.75">
      <c r="C249" s="16"/>
      <c r="D249" s="16"/>
      <c r="E249" s="16"/>
      <c r="F249" s="16"/>
      <c r="G249" s="16"/>
      <c r="H249" s="39"/>
      <c r="I249" s="39"/>
      <c r="J249" s="39"/>
      <c r="K249" s="39"/>
      <c r="L249" s="39"/>
      <c r="M249" s="39"/>
      <c r="N249" s="39"/>
      <c r="O249" s="39"/>
      <c r="P249" s="39"/>
      <c r="Q249" s="39"/>
      <c r="R249" s="16"/>
      <c r="S249" s="16"/>
      <c r="T249" s="16"/>
      <c r="U249" s="16"/>
      <c r="V249" s="16"/>
      <c r="W249" s="16"/>
      <c r="X249" s="16"/>
      <c r="Y249" s="16"/>
      <c r="Z249" s="16"/>
      <c r="AA249" s="16"/>
      <c r="AB249" s="16"/>
    </row>
    <row r="250" spans="3:28" ht="12.75">
      <c r="C250" s="16"/>
      <c r="D250" s="16"/>
      <c r="E250" s="16"/>
      <c r="F250" s="16"/>
      <c r="G250" s="16"/>
      <c r="H250" s="39"/>
      <c r="I250" s="39"/>
      <c r="J250" s="39"/>
      <c r="K250" s="39"/>
      <c r="L250" s="39"/>
      <c r="M250" s="39"/>
      <c r="N250" s="39"/>
      <c r="O250" s="39"/>
      <c r="P250" s="39"/>
      <c r="Q250" s="39"/>
      <c r="R250" s="16"/>
      <c r="S250" s="16"/>
      <c r="T250" s="16"/>
      <c r="U250" s="16"/>
      <c r="V250" s="16"/>
      <c r="W250" s="16"/>
      <c r="X250" s="16"/>
      <c r="Y250" s="16"/>
      <c r="Z250" s="16"/>
      <c r="AA250" s="16"/>
      <c r="AB250" s="16"/>
    </row>
    <row r="251" spans="3:28" ht="12.75">
      <c r="C251" s="16"/>
      <c r="D251" s="16"/>
      <c r="E251" s="16"/>
      <c r="F251" s="16"/>
      <c r="G251" s="16"/>
      <c r="H251" s="39"/>
      <c r="I251" s="39"/>
      <c r="J251" s="39"/>
      <c r="K251" s="39"/>
      <c r="L251" s="39"/>
      <c r="M251" s="39"/>
      <c r="N251" s="39"/>
      <c r="O251" s="39"/>
      <c r="P251" s="39"/>
      <c r="Q251" s="39"/>
      <c r="R251" s="16"/>
      <c r="S251" s="16"/>
      <c r="T251" s="16"/>
      <c r="U251" s="16"/>
      <c r="V251" s="16"/>
      <c r="W251" s="16"/>
      <c r="X251" s="16"/>
      <c r="Y251" s="16"/>
      <c r="Z251" s="16"/>
      <c r="AA251" s="16"/>
      <c r="AB251" s="16"/>
    </row>
    <row r="252" spans="3:28" ht="12.75">
      <c r="C252" s="16"/>
      <c r="D252" s="16"/>
      <c r="E252" s="16"/>
      <c r="F252" s="16"/>
      <c r="G252" s="16"/>
      <c r="H252" s="39"/>
      <c r="I252" s="39"/>
      <c r="J252" s="39"/>
      <c r="K252" s="39"/>
      <c r="L252" s="39"/>
      <c r="M252" s="39"/>
      <c r="N252" s="39"/>
      <c r="O252" s="39"/>
      <c r="P252" s="39"/>
      <c r="Q252" s="39"/>
      <c r="R252" s="16"/>
      <c r="S252" s="16"/>
      <c r="T252" s="16"/>
      <c r="U252" s="16"/>
      <c r="V252" s="16"/>
      <c r="W252" s="16"/>
      <c r="X252" s="16"/>
      <c r="Y252" s="16"/>
      <c r="Z252" s="16"/>
      <c r="AA252" s="16"/>
      <c r="AB252" s="16"/>
    </row>
    <row r="253" spans="3:28" ht="12.75">
      <c r="C253" s="16"/>
      <c r="D253" s="16"/>
      <c r="E253" s="16"/>
      <c r="F253" s="16"/>
      <c r="G253" s="16"/>
      <c r="H253" s="39"/>
      <c r="I253" s="39"/>
      <c r="J253" s="39"/>
      <c r="K253" s="39"/>
      <c r="L253" s="39"/>
      <c r="M253" s="39"/>
      <c r="N253" s="39"/>
      <c r="O253" s="39"/>
      <c r="P253" s="39"/>
      <c r="Q253" s="39"/>
      <c r="R253" s="16"/>
      <c r="S253" s="16"/>
      <c r="T253" s="16"/>
      <c r="U253" s="16"/>
      <c r="V253" s="16"/>
      <c r="W253" s="16"/>
      <c r="X253" s="16"/>
      <c r="Y253" s="16"/>
      <c r="Z253" s="16"/>
      <c r="AA253" s="16"/>
      <c r="AB253" s="16"/>
    </row>
    <row r="254" spans="3:28" ht="12.75">
      <c r="C254" s="16"/>
      <c r="D254" s="16"/>
      <c r="E254" s="16"/>
      <c r="F254" s="16"/>
      <c r="G254" s="16"/>
      <c r="H254" s="39"/>
      <c r="I254" s="39"/>
      <c r="J254" s="39"/>
      <c r="K254" s="39"/>
      <c r="L254" s="39"/>
      <c r="M254" s="39"/>
      <c r="N254" s="39"/>
      <c r="O254" s="39"/>
      <c r="P254" s="39"/>
      <c r="Q254" s="39"/>
      <c r="R254" s="16"/>
      <c r="S254" s="16"/>
      <c r="T254" s="16"/>
      <c r="U254" s="16"/>
      <c r="V254" s="16"/>
      <c r="W254" s="16"/>
      <c r="X254" s="16"/>
      <c r="Y254" s="16"/>
      <c r="Z254" s="16"/>
      <c r="AA254" s="16"/>
      <c r="AB254" s="16"/>
    </row>
    <row r="255" spans="3:28" ht="12.75">
      <c r="C255" s="16"/>
      <c r="D255" s="16"/>
      <c r="E255" s="16"/>
      <c r="F255" s="16"/>
      <c r="G255" s="16"/>
      <c r="H255" s="39"/>
      <c r="I255" s="39"/>
      <c r="J255" s="39"/>
      <c r="K255" s="39"/>
      <c r="L255" s="39"/>
      <c r="M255" s="39"/>
      <c r="N255" s="39"/>
      <c r="O255" s="39"/>
      <c r="P255" s="39"/>
      <c r="Q255" s="39"/>
      <c r="R255" s="16"/>
      <c r="S255" s="16"/>
      <c r="T255" s="16"/>
      <c r="U255" s="16"/>
      <c r="V255" s="16"/>
      <c r="W255" s="16"/>
      <c r="X255" s="16"/>
      <c r="Y255" s="16"/>
      <c r="Z255" s="16"/>
      <c r="AA255" s="16"/>
      <c r="AB255" s="16"/>
    </row>
    <row r="256" spans="3:28" ht="12.75">
      <c r="C256" s="16"/>
      <c r="D256" s="16"/>
      <c r="E256" s="16"/>
      <c r="F256" s="16"/>
      <c r="G256" s="16"/>
      <c r="H256" s="39"/>
      <c r="I256" s="39"/>
      <c r="J256" s="39"/>
      <c r="K256" s="39"/>
      <c r="L256" s="39"/>
      <c r="M256" s="39"/>
      <c r="N256" s="39"/>
      <c r="O256" s="39"/>
      <c r="P256" s="39"/>
      <c r="Q256" s="39"/>
      <c r="R256" s="16"/>
      <c r="S256" s="16"/>
      <c r="T256" s="16"/>
      <c r="U256" s="16"/>
      <c r="V256" s="16"/>
      <c r="W256" s="16"/>
      <c r="X256" s="16"/>
      <c r="Y256" s="16"/>
      <c r="Z256" s="16"/>
      <c r="AA256" s="16"/>
      <c r="AB256" s="16"/>
    </row>
    <row r="257" spans="3:28" ht="12.75">
      <c r="C257" s="16"/>
      <c r="D257" s="16"/>
      <c r="E257" s="16"/>
      <c r="F257" s="16"/>
      <c r="G257" s="16"/>
      <c r="H257" s="39"/>
      <c r="I257" s="39"/>
      <c r="J257" s="39"/>
      <c r="K257" s="39"/>
      <c r="L257" s="39"/>
      <c r="M257" s="39"/>
      <c r="N257" s="39"/>
      <c r="O257" s="39"/>
      <c r="P257" s="39"/>
      <c r="Q257" s="39"/>
      <c r="R257" s="16"/>
      <c r="S257" s="16"/>
      <c r="T257" s="16"/>
      <c r="U257" s="16"/>
      <c r="V257" s="16"/>
      <c r="W257" s="16"/>
      <c r="X257" s="16"/>
      <c r="Y257" s="16"/>
      <c r="Z257" s="16"/>
      <c r="AA257" s="16"/>
      <c r="AB257" s="16"/>
    </row>
    <row r="258" spans="3:28" ht="12.75">
      <c r="C258" s="16"/>
      <c r="D258" s="16"/>
      <c r="E258" s="16"/>
      <c r="F258" s="16"/>
      <c r="G258" s="16"/>
      <c r="H258" s="39"/>
      <c r="I258" s="39"/>
      <c r="J258" s="39"/>
      <c r="K258" s="39"/>
      <c r="L258" s="39"/>
      <c r="M258" s="39"/>
      <c r="N258" s="39"/>
      <c r="O258" s="39"/>
      <c r="P258" s="39"/>
      <c r="Q258" s="39"/>
      <c r="R258" s="16"/>
      <c r="S258" s="16"/>
      <c r="T258" s="16"/>
      <c r="U258" s="16"/>
      <c r="V258" s="16"/>
      <c r="W258" s="16"/>
      <c r="X258" s="16"/>
      <c r="Y258" s="16"/>
      <c r="Z258" s="16"/>
      <c r="AA258" s="16"/>
      <c r="AB258" s="16"/>
    </row>
    <row r="259" spans="3:28" ht="12.75">
      <c r="C259" s="16"/>
      <c r="D259" s="16"/>
      <c r="E259" s="16"/>
      <c r="F259" s="16"/>
      <c r="G259" s="16"/>
      <c r="H259" s="39"/>
      <c r="I259" s="39"/>
      <c r="J259" s="39"/>
      <c r="K259" s="39"/>
      <c r="L259" s="39"/>
      <c r="M259" s="39"/>
      <c r="N259" s="39"/>
      <c r="O259" s="39"/>
      <c r="P259" s="39"/>
      <c r="Q259" s="39"/>
      <c r="R259" s="16"/>
      <c r="S259" s="16"/>
      <c r="T259" s="16"/>
      <c r="U259" s="16"/>
      <c r="V259" s="16"/>
      <c r="W259" s="16"/>
      <c r="X259" s="16"/>
      <c r="Y259" s="16"/>
      <c r="Z259" s="16"/>
      <c r="AA259" s="16"/>
      <c r="AB259" s="16"/>
    </row>
    <row r="260" spans="3:28" ht="12.75">
      <c r="C260" s="16"/>
      <c r="D260" s="16"/>
      <c r="E260" s="16"/>
      <c r="F260" s="16"/>
      <c r="G260" s="16"/>
      <c r="H260" s="39"/>
      <c r="I260" s="39"/>
      <c r="J260" s="39"/>
      <c r="K260" s="39"/>
      <c r="L260" s="39"/>
      <c r="M260" s="39"/>
      <c r="N260" s="39"/>
      <c r="O260" s="39"/>
      <c r="P260" s="39"/>
      <c r="Q260" s="39"/>
      <c r="R260" s="16"/>
      <c r="S260" s="16"/>
      <c r="T260" s="16"/>
      <c r="U260" s="16"/>
      <c r="V260" s="16"/>
      <c r="W260" s="16"/>
      <c r="X260" s="16"/>
      <c r="Y260" s="16"/>
      <c r="Z260" s="16"/>
      <c r="AA260" s="16"/>
      <c r="AB260" s="16"/>
    </row>
    <row r="261" spans="3:28" ht="12.75">
      <c r="C261" s="16"/>
      <c r="D261" s="16"/>
      <c r="E261" s="16"/>
      <c r="F261" s="16"/>
      <c r="G261" s="16"/>
      <c r="H261" s="39"/>
      <c r="I261" s="39"/>
      <c r="J261" s="39"/>
      <c r="K261" s="39"/>
      <c r="L261" s="39"/>
      <c r="M261" s="39"/>
      <c r="N261" s="39"/>
      <c r="O261" s="39"/>
      <c r="P261" s="39"/>
      <c r="Q261" s="39"/>
      <c r="R261" s="16"/>
      <c r="S261" s="16"/>
      <c r="T261" s="16"/>
      <c r="U261" s="16"/>
      <c r="V261" s="16"/>
      <c r="W261" s="16"/>
      <c r="X261" s="16"/>
      <c r="Y261" s="16"/>
      <c r="Z261" s="16"/>
      <c r="AA261" s="16"/>
      <c r="AB261" s="16"/>
    </row>
    <row r="262" spans="3:28" ht="12.75">
      <c r="C262" s="16"/>
      <c r="D262" s="16"/>
      <c r="E262" s="16"/>
      <c r="F262" s="16"/>
      <c r="G262" s="16"/>
      <c r="H262" s="39"/>
      <c r="I262" s="39"/>
      <c r="J262" s="39"/>
      <c r="K262" s="39"/>
      <c r="L262" s="39"/>
      <c r="M262" s="39"/>
      <c r="N262" s="39"/>
      <c r="O262" s="39"/>
      <c r="P262" s="39"/>
      <c r="Q262" s="39"/>
      <c r="R262" s="16"/>
      <c r="S262" s="16"/>
      <c r="T262" s="16"/>
      <c r="U262" s="16"/>
      <c r="V262" s="16"/>
      <c r="W262" s="16"/>
      <c r="X262" s="16"/>
      <c r="Y262" s="16"/>
      <c r="Z262" s="16"/>
      <c r="AA262" s="16"/>
      <c r="AB262" s="16"/>
    </row>
    <row r="263" spans="3:28" ht="12.75">
      <c r="C263" s="16"/>
      <c r="D263" s="16"/>
      <c r="E263" s="16"/>
      <c r="F263" s="16"/>
      <c r="G263" s="16"/>
      <c r="H263" s="39"/>
      <c r="I263" s="39"/>
      <c r="J263" s="39"/>
      <c r="K263" s="39"/>
      <c r="L263" s="39"/>
      <c r="M263" s="39"/>
      <c r="N263" s="39"/>
      <c r="O263" s="39"/>
      <c r="P263" s="39"/>
      <c r="Q263" s="39"/>
      <c r="R263" s="16"/>
      <c r="S263" s="16"/>
      <c r="T263" s="16"/>
      <c r="U263" s="16"/>
      <c r="V263" s="16"/>
      <c r="W263" s="16"/>
      <c r="X263" s="16"/>
      <c r="Y263" s="16"/>
      <c r="Z263" s="16"/>
      <c r="AA263" s="16"/>
      <c r="AB263" s="16"/>
    </row>
    <row r="264" spans="3:28" ht="12.75">
      <c r="C264" s="16"/>
      <c r="D264" s="16"/>
      <c r="E264" s="16"/>
      <c r="F264" s="16"/>
      <c r="G264" s="16"/>
      <c r="H264" s="39"/>
      <c r="I264" s="39"/>
      <c r="J264" s="39"/>
      <c r="K264" s="39"/>
      <c r="L264" s="39"/>
      <c r="M264" s="39"/>
      <c r="N264" s="39"/>
      <c r="O264" s="39"/>
      <c r="P264" s="39"/>
      <c r="Q264" s="39"/>
      <c r="R264" s="16"/>
      <c r="S264" s="16"/>
      <c r="T264" s="16"/>
      <c r="U264" s="16"/>
      <c r="V264" s="16"/>
      <c r="W264" s="16"/>
      <c r="X264" s="16"/>
      <c r="Y264" s="16"/>
      <c r="Z264" s="16"/>
      <c r="AA264" s="16"/>
      <c r="AB264" s="16"/>
    </row>
    <row r="265" spans="3:28" ht="12.75">
      <c r="C265" s="16"/>
      <c r="D265" s="16"/>
      <c r="E265" s="16"/>
      <c r="F265" s="16"/>
      <c r="G265" s="16"/>
      <c r="H265" s="39"/>
      <c r="I265" s="39"/>
      <c r="J265" s="39"/>
      <c r="K265" s="39"/>
      <c r="L265" s="39"/>
      <c r="M265" s="39"/>
      <c r="N265" s="39"/>
      <c r="O265" s="39"/>
      <c r="P265" s="39"/>
      <c r="Q265" s="39"/>
      <c r="R265" s="16"/>
      <c r="S265" s="16"/>
      <c r="T265" s="16"/>
      <c r="U265" s="16"/>
      <c r="V265" s="16"/>
      <c r="W265" s="16"/>
      <c r="X265" s="16"/>
      <c r="Y265" s="16"/>
      <c r="Z265" s="16"/>
      <c r="AA265" s="16"/>
      <c r="AB265" s="16"/>
    </row>
    <row r="266" spans="3:28" ht="12.75">
      <c r="C266" s="16"/>
      <c r="D266" s="16"/>
      <c r="E266" s="16"/>
      <c r="F266" s="16"/>
      <c r="G266" s="16"/>
      <c r="H266" s="39"/>
      <c r="I266" s="39"/>
      <c r="J266" s="39"/>
      <c r="K266" s="39"/>
      <c r="L266" s="39"/>
      <c r="M266" s="39"/>
      <c r="N266" s="39"/>
      <c r="O266" s="39"/>
      <c r="P266" s="39"/>
      <c r="Q266" s="39"/>
      <c r="R266" s="16"/>
      <c r="S266" s="16"/>
      <c r="T266" s="16"/>
      <c r="U266" s="16"/>
      <c r="V266" s="16"/>
      <c r="W266" s="16"/>
      <c r="X266" s="16"/>
      <c r="Y266" s="16"/>
      <c r="Z266" s="16"/>
      <c r="AA266" s="16"/>
      <c r="AB266" s="16"/>
    </row>
    <row r="267" spans="3:28" ht="12.75">
      <c r="C267" s="16"/>
      <c r="D267" s="16"/>
      <c r="E267" s="16"/>
      <c r="F267" s="16"/>
      <c r="G267" s="16"/>
      <c r="H267" s="39"/>
      <c r="I267" s="39"/>
      <c r="J267" s="39"/>
      <c r="K267" s="39"/>
      <c r="L267" s="39"/>
      <c r="M267" s="39"/>
      <c r="N267" s="39"/>
      <c r="O267" s="39"/>
      <c r="P267" s="39"/>
      <c r="Q267" s="39"/>
      <c r="R267" s="16"/>
      <c r="S267" s="16"/>
      <c r="T267" s="16"/>
      <c r="U267" s="16"/>
      <c r="V267" s="16"/>
      <c r="W267" s="16"/>
      <c r="X267" s="16"/>
      <c r="Y267" s="16"/>
      <c r="Z267" s="16"/>
      <c r="AA267" s="16"/>
      <c r="AB267" s="16"/>
    </row>
    <row r="268" spans="3:28" ht="12.75">
      <c r="C268" s="16"/>
      <c r="D268" s="16"/>
      <c r="E268" s="16"/>
      <c r="F268" s="16"/>
      <c r="G268" s="16"/>
      <c r="H268" s="39"/>
      <c r="I268" s="39"/>
      <c r="J268" s="39"/>
      <c r="K268" s="39"/>
      <c r="L268" s="39"/>
      <c r="M268" s="39"/>
      <c r="N268" s="39"/>
      <c r="O268" s="39"/>
      <c r="P268" s="39"/>
      <c r="Q268" s="39"/>
      <c r="R268" s="16"/>
      <c r="S268" s="16"/>
      <c r="T268" s="16"/>
      <c r="U268" s="16"/>
      <c r="V268" s="16"/>
      <c r="W268" s="16"/>
      <c r="X268" s="16"/>
      <c r="Y268" s="16"/>
      <c r="Z268" s="16"/>
      <c r="AA268" s="16"/>
      <c r="AB268" s="16"/>
    </row>
    <row r="269" spans="3:28" ht="12.75">
      <c r="C269" s="16"/>
      <c r="D269" s="16"/>
      <c r="E269" s="16"/>
      <c r="F269" s="16"/>
      <c r="G269" s="16"/>
      <c r="H269" s="39"/>
      <c r="I269" s="39"/>
      <c r="J269" s="39"/>
      <c r="K269" s="39"/>
      <c r="L269" s="39"/>
      <c r="M269" s="39"/>
      <c r="N269" s="39"/>
      <c r="O269" s="39"/>
      <c r="P269" s="39"/>
      <c r="Q269" s="39"/>
      <c r="R269" s="16"/>
      <c r="S269" s="16"/>
      <c r="T269" s="16"/>
      <c r="U269" s="16"/>
      <c r="V269" s="16"/>
      <c r="W269" s="16"/>
      <c r="X269" s="16"/>
      <c r="Y269" s="16"/>
      <c r="Z269" s="16"/>
      <c r="AA269" s="16"/>
      <c r="AB269" s="16"/>
    </row>
    <row r="270" spans="3:28" ht="12.75">
      <c r="C270" s="16"/>
      <c r="D270" s="16"/>
      <c r="E270" s="16"/>
      <c r="F270" s="16"/>
      <c r="G270" s="16"/>
      <c r="H270" s="39"/>
      <c r="I270" s="39"/>
      <c r="J270" s="39"/>
      <c r="K270" s="39"/>
      <c r="L270" s="39"/>
      <c r="M270" s="39"/>
      <c r="N270" s="39"/>
      <c r="O270" s="39"/>
      <c r="P270" s="39"/>
      <c r="Q270" s="39"/>
      <c r="R270" s="16"/>
      <c r="S270" s="16"/>
      <c r="T270" s="16"/>
      <c r="U270" s="16"/>
      <c r="V270" s="16"/>
      <c r="W270" s="16"/>
      <c r="X270" s="16"/>
      <c r="Y270" s="16"/>
      <c r="Z270" s="16"/>
      <c r="AA270" s="16"/>
      <c r="AB270" s="16"/>
    </row>
    <row r="271" spans="3:28" ht="12.75">
      <c r="C271" s="16"/>
      <c r="D271" s="16"/>
      <c r="E271" s="16"/>
      <c r="F271" s="16"/>
      <c r="G271" s="16"/>
      <c r="H271" s="39"/>
      <c r="I271" s="39"/>
      <c r="J271" s="39"/>
      <c r="K271" s="39"/>
      <c r="L271" s="39"/>
      <c r="M271" s="39"/>
      <c r="N271" s="39"/>
      <c r="O271" s="39"/>
      <c r="P271" s="39"/>
      <c r="Q271" s="39"/>
      <c r="R271" s="16"/>
      <c r="S271" s="16"/>
      <c r="T271" s="16"/>
      <c r="U271" s="16"/>
      <c r="V271" s="16"/>
      <c r="W271" s="16"/>
      <c r="X271" s="16"/>
      <c r="Y271" s="16"/>
      <c r="Z271" s="16"/>
      <c r="AA271" s="16"/>
      <c r="AB271" s="16"/>
    </row>
    <row r="272" spans="3:28" ht="12.75">
      <c r="C272" s="16"/>
      <c r="D272" s="16"/>
      <c r="E272" s="16"/>
      <c r="F272" s="16"/>
      <c r="G272" s="16"/>
      <c r="H272" s="39"/>
      <c r="I272" s="39"/>
      <c r="J272" s="39"/>
      <c r="K272" s="39"/>
      <c r="L272" s="39"/>
      <c r="M272" s="39"/>
      <c r="N272" s="39"/>
      <c r="O272" s="39"/>
      <c r="P272" s="39"/>
      <c r="Q272" s="39"/>
      <c r="R272" s="16"/>
      <c r="S272" s="16"/>
      <c r="T272" s="16"/>
      <c r="U272" s="16"/>
      <c r="V272" s="16"/>
      <c r="W272" s="16"/>
      <c r="X272" s="16"/>
      <c r="Y272" s="16"/>
      <c r="Z272" s="16"/>
      <c r="AA272" s="16"/>
      <c r="AB272" s="16"/>
    </row>
    <row r="273" spans="3:28" ht="12.75">
      <c r="C273" s="16"/>
      <c r="D273" s="16"/>
      <c r="E273" s="16"/>
      <c r="F273" s="16"/>
      <c r="G273" s="16"/>
      <c r="H273" s="39"/>
      <c r="I273" s="39"/>
      <c r="J273" s="39"/>
      <c r="K273" s="39"/>
      <c r="L273" s="39"/>
      <c r="M273" s="39"/>
      <c r="N273" s="39"/>
      <c r="O273" s="39"/>
      <c r="P273" s="39"/>
      <c r="Q273" s="39"/>
      <c r="R273" s="16"/>
      <c r="S273" s="16"/>
      <c r="T273" s="16"/>
      <c r="U273" s="16"/>
      <c r="V273" s="16"/>
      <c r="W273" s="16"/>
      <c r="X273" s="16"/>
      <c r="Y273" s="16"/>
      <c r="Z273" s="16"/>
      <c r="AA273" s="16"/>
      <c r="AB273" s="16"/>
    </row>
    <row r="274" spans="3:28" ht="12.75">
      <c r="C274" s="16"/>
      <c r="D274" s="16"/>
      <c r="E274" s="16"/>
      <c r="F274" s="16"/>
      <c r="G274" s="16"/>
      <c r="H274" s="39"/>
      <c r="I274" s="39"/>
      <c r="J274" s="39"/>
      <c r="K274" s="39"/>
      <c r="L274" s="39"/>
      <c r="M274" s="39"/>
      <c r="N274" s="39"/>
      <c r="O274" s="39"/>
      <c r="P274" s="39"/>
      <c r="Q274" s="39"/>
      <c r="R274" s="16"/>
      <c r="S274" s="16"/>
      <c r="T274" s="16"/>
      <c r="U274" s="16"/>
      <c r="V274" s="16"/>
      <c r="W274" s="16"/>
      <c r="X274" s="16"/>
      <c r="Y274" s="16"/>
      <c r="Z274" s="16"/>
      <c r="AA274" s="16"/>
      <c r="AB274" s="16"/>
    </row>
    <row r="275" spans="3:28" ht="12.75">
      <c r="C275" s="16"/>
      <c r="D275" s="16"/>
      <c r="E275" s="16"/>
      <c r="F275" s="16"/>
      <c r="G275" s="16"/>
      <c r="H275" s="39"/>
      <c r="I275" s="39"/>
      <c r="J275" s="39"/>
      <c r="K275" s="39"/>
      <c r="L275" s="39"/>
      <c r="M275" s="39"/>
      <c r="N275" s="39"/>
      <c r="O275" s="39"/>
      <c r="P275" s="39"/>
      <c r="Q275" s="39"/>
      <c r="R275" s="16"/>
      <c r="S275" s="16"/>
      <c r="T275" s="16"/>
      <c r="U275" s="16"/>
      <c r="V275" s="16"/>
      <c r="W275" s="16"/>
      <c r="X275" s="16"/>
      <c r="Y275" s="16"/>
      <c r="Z275" s="16"/>
      <c r="AA275" s="16"/>
      <c r="AB275" s="16"/>
    </row>
    <row r="276" spans="3:28" ht="12.75">
      <c r="C276" s="16"/>
      <c r="D276" s="16"/>
      <c r="E276" s="16"/>
      <c r="F276" s="16"/>
      <c r="G276" s="16"/>
      <c r="H276" s="39"/>
      <c r="I276" s="39"/>
      <c r="J276" s="39"/>
      <c r="K276" s="39"/>
      <c r="L276" s="39"/>
      <c r="M276" s="39"/>
      <c r="N276" s="39"/>
      <c r="O276" s="39"/>
      <c r="P276" s="39"/>
      <c r="Q276" s="39"/>
      <c r="R276" s="16"/>
      <c r="S276" s="16"/>
      <c r="T276" s="16"/>
      <c r="U276" s="16"/>
      <c r="V276" s="16"/>
      <c r="W276" s="16"/>
      <c r="X276" s="16"/>
      <c r="Y276" s="16"/>
      <c r="Z276" s="16"/>
      <c r="AA276" s="16"/>
      <c r="AB276" s="16"/>
    </row>
    <row r="277" spans="3:28" ht="12.75">
      <c r="C277" s="16"/>
      <c r="D277" s="16"/>
      <c r="E277" s="16"/>
      <c r="F277" s="16"/>
      <c r="G277" s="16"/>
      <c r="H277" s="39"/>
      <c r="I277" s="39"/>
      <c r="J277" s="39"/>
      <c r="K277" s="39"/>
      <c r="L277" s="39"/>
      <c r="M277" s="39"/>
      <c r="N277" s="39"/>
      <c r="O277" s="39"/>
      <c r="P277" s="39"/>
      <c r="Q277" s="39"/>
      <c r="R277" s="16"/>
      <c r="S277" s="16"/>
      <c r="T277" s="16"/>
      <c r="U277" s="16"/>
      <c r="V277" s="16"/>
      <c r="W277" s="16"/>
      <c r="X277" s="16"/>
      <c r="Y277" s="16"/>
      <c r="Z277" s="16"/>
      <c r="AA277" s="16"/>
      <c r="AB277" s="16"/>
    </row>
    <row r="278" spans="3:28" ht="12.75">
      <c r="C278" s="16"/>
      <c r="D278" s="16"/>
      <c r="E278" s="16"/>
      <c r="F278" s="16"/>
      <c r="G278" s="16"/>
      <c r="H278" s="39"/>
      <c r="I278" s="39"/>
      <c r="J278" s="39"/>
      <c r="K278" s="39"/>
      <c r="L278" s="39"/>
      <c r="M278" s="39"/>
      <c r="N278" s="39"/>
      <c r="O278" s="39"/>
      <c r="P278" s="39"/>
      <c r="Q278" s="39"/>
      <c r="R278" s="16"/>
      <c r="S278" s="16"/>
      <c r="T278" s="16"/>
      <c r="U278" s="16"/>
      <c r="V278" s="16"/>
      <c r="W278" s="16"/>
      <c r="X278" s="16"/>
      <c r="Y278" s="16"/>
      <c r="Z278" s="16"/>
      <c r="AA278" s="16"/>
      <c r="AB278" s="16"/>
    </row>
    <row r="279" spans="3:28" ht="12.75">
      <c r="C279" s="16"/>
      <c r="D279" s="16"/>
      <c r="E279" s="16"/>
      <c r="F279" s="16"/>
      <c r="G279" s="16"/>
      <c r="H279" s="39"/>
      <c r="I279" s="39"/>
      <c r="J279" s="39"/>
      <c r="K279" s="39"/>
      <c r="L279" s="39"/>
      <c r="M279" s="39"/>
      <c r="N279" s="39"/>
      <c r="O279" s="39"/>
      <c r="P279" s="39"/>
      <c r="Q279" s="39"/>
      <c r="R279" s="16"/>
      <c r="S279" s="16"/>
      <c r="T279" s="16"/>
      <c r="U279" s="16"/>
      <c r="V279" s="16"/>
      <c r="W279" s="16"/>
      <c r="X279" s="16"/>
      <c r="Y279" s="16"/>
      <c r="Z279" s="16"/>
      <c r="AA279" s="16"/>
      <c r="AB279" s="16"/>
    </row>
    <row r="280" spans="3:28" ht="12.75">
      <c r="C280" s="16"/>
      <c r="D280" s="16"/>
      <c r="E280" s="16"/>
      <c r="F280" s="16"/>
      <c r="G280" s="16"/>
      <c r="H280" s="39"/>
      <c r="I280" s="39"/>
      <c r="J280" s="39"/>
      <c r="K280" s="39"/>
      <c r="L280" s="39"/>
      <c r="M280" s="39"/>
      <c r="N280" s="39"/>
      <c r="O280" s="39"/>
      <c r="P280" s="39"/>
      <c r="Q280" s="39"/>
      <c r="R280" s="16"/>
      <c r="S280" s="16"/>
      <c r="T280" s="16"/>
      <c r="U280" s="16"/>
      <c r="V280" s="16"/>
      <c r="W280" s="16"/>
      <c r="X280" s="16"/>
      <c r="Y280" s="16"/>
      <c r="Z280" s="16"/>
      <c r="AA280" s="16"/>
      <c r="AB280" s="16"/>
    </row>
    <row r="281" spans="3:28" ht="12.75">
      <c r="C281" s="16"/>
      <c r="D281" s="16"/>
      <c r="E281" s="16"/>
      <c r="F281" s="16"/>
      <c r="G281" s="16"/>
      <c r="H281" s="39"/>
      <c r="I281" s="39"/>
      <c r="J281" s="39"/>
      <c r="K281" s="39"/>
      <c r="L281" s="39"/>
      <c r="M281" s="39"/>
      <c r="N281" s="39"/>
      <c r="O281" s="39"/>
      <c r="P281" s="39"/>
      <c r="Q281" s="39"/>
      <c r="R281" s="16"/>
      <c r="S281" s="16"/>
      <c r="T281" s="16"/>
      <c r="U281" s="16"/>
      <c r="V281" s="16"/>
      <c r="W281" s="16"/>
      <c r="X281" s="16"/>
      <c r="Y281" s="16"/>
      <c r="Z281" s="16"/>
      <c r="AA281" s="16"/>
      <c r="AB281" s="16"/>
    </row>
    <row r="282" spans="3:28" ht="12.75">
      <c r="C282" s="16"/>
      <c r="D282" s="16"/>
      <c r="E282" s="16"/>
      <c r="F282" s="16"/>
      <c r="G282" s="16"/>
      <c r="H282" s="39"/>
      <c r="I282" s="39"/>
      <c r="J282" s="39"/>
      <c r="K282" s="39"/>
      <c r="L282" s="39"/>
      <c r="M282" s="39"/>
      <c r="N282" s="39"/>
      <c r="O282" s="39"/>
      <c r="P282" s="39"/>
      <c r="Q282" s="39"/>
      <c r="R282" s="16"/>
      <c r="S282" s="16"/>
      <c r="T282" s="16"/>
      <c r="U282" s="16"/>
      <c r="V282" s="16"/>
      <c r="W282" s="16"/>
      <c r="X282" s="16"/>
      <c r="Y282" s="16"/>
      <c r="Z282" s="16"/>
      <c r="AA282" s="16"/>
      <c r="AB282" s="16"/>
    </row>
    <row r="283" spans="3:28" ht="12.75">
      <c r="C283" s="16"/>
      <c r="D283" s="16"/>
      <c r="E283" s="16"/>
      <c r="F283" s="16"/>
      <c r="G283" s="16"/>
      <c r="H283" s="39"/>
      <c r="I283" s="39"/>
      <c r="J283" s="39"/>
      <c r="K283" s="39"/>
      <c r="L283" s="39"/>
      <c r="M283" s="39"/>
      <c r="N283" s="39"/>
      <c r="O283" s="39"/>
      <c r="P283" s="39"/>
      <c r="Q283" s="39"/>
      <c r="R283" s="16"/>
      <c r="S283" s="16"/>
      <c r="T283" s="16"/>
      <c r="U283" s="16"/>
      <c r="V283" s="16"/>
      <c r="W283" s="16"/>
      <c r="X283" s="16"/>
      <c r="Y283" s="16"/>
      <c r="Z283" s="16"/>
      <c r="AA283" s="16"/>
      <c r="AB283" s="16"/>
    </row>
    <row r="284" spans="3:28" ht="12.75">
      <c r="C284" s="16"/>
      <c r="D284" s="16"/>
      <c r="E284" s="16"/>
      <c r="F284" s="16"/>
      <c r="G284" s="16"/>
      <c r="H284" s="39"/>
      <c r="I284" s="39"/>
      <c r="J284" s="39"/>
      <c r="K284" s="39"/>
      <c r="L284" s="39"/>
      <c r="M284" s="39"/>
      <c r="N284" s="39"/>
      <c r="O284" s="39"/>
      <c r="P284" s="39"/>
      <c r="Q284" s="39"/>
      <c r="R284" s="16"/>
      <c r="S284" s="16"/>
      <c r="T284" s="16"/>
      <c r="U284" s="16"/>
      <c r="V284" s="16"/>
      <c r="W284" s="16"/>
      <c r="X284" s="16"/>
      <c r="Y284" s="16"/>
      <c r="Z284" s="16"/>
      <c r="AA284" s="16"/>
      <c r="AB284" s="16"/>
    </row>
    <row r="285" spans="3:28" ht="12.75">
      <c r="C285" s="16"/>
      <c r="D285" s="16"/>
      <c r="E285" s="16"/>
      <c r="F285" s="16"/>
      <c r="G285" s="16"/>
      <c r="H285" s="39"/>
      <c r="I285" s="39"/>
      <c r="J285" s="39"/>
      <c r="K285" s="39"/>
      <c r="L285" s="39"/>
      <c r="M285" s="39"/>
      <c r="N285" s="39"/>
      <c r="O285" s="39"/>
      <c r="P285" s="39"/>
      <c r="Q285" s="39"/>
      <c r="R285" s="16"/>
      <c r="S285" s="16"/>
      <c r="T285" s="16"/>
      <c r="U285" s="16"/>
      <c r="V285" s="16"/>
      <c r="W285" s="16"/>
      <c r="X285" s="16"/>
      <c r="Y285" s="16"/>
      <c r="Z285" s="16"/>
      <c r="AA285" s="16"/>
      <c r="AB285" s="16"/>
    </row>
    <row r="286" spans="3:28" ht="12.75">
      <c r="C286" s="16"/>
      <c r="D286" s="16"/>
      <c r="E286" s="16"/>
      <c r="F286" s="16"/>
      <c r="G286" s="16"/>
      <c r="H286" s="39"/>
      <c r="I286" s="39"/>
      <c r="J286" s="39"/>
      <c r="K286" s="39"/>
      <c r="L286" s="39"/>
      <c r="M286" s="39"/>
      <c r="N286" s="39"/>
      <c r="O286" s="39"/>
      <c r="P286" s="39"/>
      <c r="Q286" s="39"/>
      <c r="R286" s="16"/>
      <c r="S286" s="16"/>
      <c r="T286" s="16"/>
      <c r="U286" s="16"/>
      <c r="V286" s="16"/>
      <c r="W286" s="16"/>
      <c r="X286" s="16"/>
      <c r="Y286" s="16"/>
      <c r="Z286" s="16"/>
      <c r="AA286" s="16"/>
      <c r="AB286" s="16"/>
    </row>
    <row r="287" spans="3:28" ht="12.75">
      <c r="C287" s="16"/>
      <c r="D287" s="16"/>
      <c r="E287" s="16"/>
      <c r="F287" s="16"/>
      <c r="G287" s="16"/>
      <c r="H287" s="39"/>
      <c r="I287" s="39"/>
      <c r="J287" s="39"/>
      <c r="K287" s="39"/>
      <c r="L287" s="39"/>
      <c r="M287" s="39"/>
      <c r="N287" s="39"/>
      <c r="O287" s="39"/>
      <c r="P287" s="39"/>
      <c r="Q287" s="39"/>
      <c r="R287" s="16"/>
      <c r="S287" s="16"/>
      <c r="T287" s="16"/>
      <c r="U287" s="16"/>
      <c r="V287" s="16"/>
      <c r="W287" s="16"/>
      <c r="X287" s="16"/>
      <c r="Y287" s="16"/>
      <c r="Z287" s="16"/>
      <c r="AA287" s="16"/>
      <c r="AB287" s="16"/>
    </row>
    <row r="288" spans="3:28" ht="12.75">
      <c r="C288" s="16"/>
      <c r="D288" s="16"/>
      <c r="E288" s="16"/>
      <c r="F288" s="16"/>
      <c r="G288" s="16"/>
      <c r="H288" s="39"/>
      <c r="I288" s="39"/>
      <c r="J288" s="39"/>
      <c r="K288" s="39"/>
      <c r="L288" s="39"/>
      <c r="M288" s="39"/>
      <c r="N288" s="39"/>
      <c r="O288" s="39"/>
      <c r="P288" s="39"/>
      <c r="Q288" s="39"/>
      <c r="R288" s="16"/>
      <c r="S288" s="16"/>
      <c r="T288" s="16"/>
      <c r="U288" s="16"/>
      <c r="V288" s="16"/>
      <c r="W288" s="16"/>
      <c r="X288" s="16"/>
      <c r="Y288" s="16"/>
      <c r="Z288" s="16"/>
      <c r="AA288" s="16"/>
      <c r="AB288" s="16"/>
    </row>
    <row r="289" spans="3:28" ht="12.75">
      <c r="C289" s="16"/>
      <c r="D289" s="16"/>
      <c r="E289" s="16"/>
      <c r="F289" s="16"/>
      <c r="G289" s="16"/>
      <c r="H289" s="39"/>
      <c r="I289" s="39"/>
      <c r="J289" s="39"/>
      <c r="K289" s="39"/>
      <c r="L289" s="39"/>
      <c r="M289" s="39"/>
      <c r="N289" s="39"/>
      <c r="O289" s="39"/>
      <c r="P289" s="39"/>
      <c r="Q289" s="39"/>
      <c r="R289" s="16"/>
      <c r="S289" s="16"/>
      <c r="T289" s="16"/>
      <c r="U289" s="16"/>
      <c r="V289" s="16"/>
      <c r="W289" s="16"/>
      <c r="X289" s="16"/>
      <c r="Y289" s="16"/>
      <c r="Z289" s="16"/>
      <c r="AA289" s="16"/>
      <c r="AB289" s="16"/>
    </row>
    <row r="290" spans="3:28" ht="12.75">
      <c r="C290" s="16"/>
      <c r="D290" s="16"/>
      <c r="E290" s="16"/>
      <c r="F290" s="16"/>
      <c r="G290" s="16"/>
      <c r="H290" s="39"/>
      <c r="I290" s="39"/>
      <c r="J290" s="39"/>
      <c r="K290" s="39"/>
      <c r="L290" s="39"/>
      <c r="M290" s="39"/>
      <c r="N290" s="39"/>
      <c r="O290" s="39"/>
      <c r="P290" s="39"/>
      <c r="Q290" s="39"/>
      <c r="R290" s="16"/>
      <c r="S290" s="16"/>
      <c r="T290" s="16"/>
      <c r="U290" s="16"/>
      <c r="V290" s="16"/>
      <c r="W290" s="16"/>
      <c r="X290" s="16"/>
      <c r="Y290" s="16"/>
      <c r="Z290" s="16"/>
      <c r="AA290" s="16"/>
      <c r="AB290" s="16"/>
    </row>
    <row r="291" spans="3:28" ht="12.75">
      <c r="C291" s="16"/>
      <c r="D291" s="16"/>
      <c r="E291" s="16"/>
      <c r="F291" s="16"/>
      <c r="G291" s="16"/>
      <c r="H291" s="39"/>
      <c r="I291" s="39"/>
      <c r="J291" s="39"/>
      <c r="K291" s="39"/>
      <c r="L291" s="39"/>
      <c r="M291" s="39"/>
      <c r="N291" s="39"/>
      <c r="O291" s="39"/>
      <c r="P291" s="39"/>
      <c r="Q291" s="39"/>
      <c r="R291" s="16"/>
      <c r="S291" s="16"/>
      <c r="T291" s="16"/>
      <c r="U291" s="16"/>
      <c r="V291" s="16"/>
      <c r="W291" s="16"/>
      <c r="X291" s="16"/>
      <c r="Y291" s="16"/>
      <c r="Z291" s="16"/>
      <c r="AA291" s="16"/>
      <c r="AB291" s="16"/>
    </row>
    <row r="292" spans="3:28" ht="12.75">
      <c r="C292" s="16"/>
      <c r="D292" s="16"/>
      <c r="E292" s="16"/>
      <c r="F292" s="16"/>
      <c r="G292" s="16"/>
      <c r="H292" s="39"/>
      <c r="I292" s="39"/>
      <c r="J292" s="39"/>
      <c r="K292" s="39"/>
      <c r="L292" s="39"/>
      <c r="M292" s="39"/>
      <c r="N292" s="39"/>
      <c r="O292" s="39"/>
      <c r="P292" s="39"/>
      <c r="Q292" s="39"/>
      <c r="R292" s="16"/>
      <c r="S292" s="16"/>
      <c r="T292" s="16"/>
      <c r="U292" s="16"/>
      <c r="V292" s="16"/>
      <c r="W292" s="16"/>
      <c r="X292" s="16"/>
      <c r="Y292" s="16"/>
      <c r="Z292" s="16"/>
      <c r="AA292" s="16"/>
      <c r="AB292" s="16"/>
    </row>
    <row r="293" spans="3:28" ht="12.75">
      <c r="C293" s="16"/>
      <c r="D293" s="16"/>
      <c r="E293" s="16"/>
      <c r="F293" s="16"/>
      <c r="G293" s="16"/>
      <c r="H293" s="39"/>
      <c r="I293" s="39"/>
      <c r="J293" s="39"/>
      <c r="K293" s="39"/>
      <c r="L293" s="39"/>
      <c r="M293" s="39"/>
      <c r="N293" s="39"/>
      <c r="O293" s="39"/>
      <c r="P293" s="39"/>
      <c r="Q293" s="39"/>
      <c r="R293" s="16"/>
      <c r="S293" s="16"/>
      <c r="T293" s="16"/>
      <c r="U293" s="16"/>
      <c r="V293" s="16"/>
      <c r="W293" s="16"/>
      <c r="X293" s="16"/>
      <c r="Y293" s="16"/>
      <c r="Z293" s="16"/>
      <c r="AA293" s="16"/>
      <c r="AB293" s="16"/>
    </row>
    <row r="294" spans="3:28" ht="12.75">
      <c r="C294" s="16"/>
      <c r="D294" s="16"/>
      <c r="E294" s="16"/>
      <c r="F294" s="16"/>
      <c r="G294" s="16"/>
      <c r="H294" s="39"/>
      <c r="I294" s="39"/>
      <c r="J294" s="39"/>
      <c r="K294" s="39"/>
      <c r="L294" s="39"/>
      <c r="M294" s="39"/>
      <c r="N294" s="39"/>
      <c r="O294" s="39"/>
      <c r="P294" s="39"/>
      <c r="Q294" s="39"/>
      <c r="R294" s="16"/>
      <c r="S294" s="16"/>
      <c r="T294" s="16"/>
      <c r="U294" s="16"/>
      <c r="V294" s="16"/>
      <c r="W294" s="16"/>
      <c r="X294" s="16"/>
      <c r="Y294" s="16"/>
      <c r="Z294" s="16"/>
      <c r="AA294" s="16"/>
      <c r="AB294" s="16"/>
    </row>
    <row r="295" spans="3:28" ht="12.75">
      <c r="C295" s="16"/>
      <c r="D295" s="16"/>
      <c r="E295" s="16"/>
      <c r="F295" s="16"/>
      <c r="G295" s="16"/>
      <c r="H295" s="39"/>
      <c r="I295" s="39"/>
      <c r="J295" s="39"/>
      <c r="K295" s="39"/>
      <c r="L295" s="39"/>
      <c r="M295" s="39"/>
      <c r="N295" s="39"/>
      <c r="O295" s="39"/>
      <c r="P295" s="39"/>
      <c r="Q295" s="39"/>
      <c r="R295" s="16"/>
      <c r="S295" s="16"/>
      <c r="T295" s="16"/>
      <c r="U295" s="16"/>
      <c r="V295" s="16"/>
      <c r="W295" s="16"/>
      <c r="X295" s="16"/>
      <c r="Y295" s="16"/>
      <c r="Z295" s="16"/>
      <c r="AA295" s="16"/>
      <c r="AB295" s="16"/>
    </row>
    <row r="296" spans="3:28" ht="12.75">
      <c r="C296" s="16"/>
      <c r="D296" s="16"/>
      <c r="E296" s="16"/>
      <c r="F296" s="16"/>
      <c r="G296" s="16"/>
      <c r="H296" s="39"/>
      <c r="I296" s="39"/>
      <c r="J296" s="39"/>
      <c r="K296" s="39"/>
      <c r="L296" s="39"/>
      <c r="M296" s="39"/>
      <c r="N296" s="39"/>
      <c r="O296" s="39"/>
      <c r="P296" s="39"/>
      <c r="Q296" s="39"/>
      <c r="R296" s="16"/>
      <c r="S296" s="16"/>
      <c r="T296" s="16"/>
      <c r="U296" s="16"/>
      <c r="V296" s="16"/>
      <c r="W296" s="16"/>
      <c r="X296" s="16"/>
      <c r="Y296" s="16"/>
      <c r="Z296" s="16"/>
      <c r="AA296" s="16"/>
      <c r="AB296" s="16"/>
    </row>
    <row r="297" spans="3:28" ht="12.75">
      <c r="C297" s="16"/>
      <c r="D297" s="16"/>
      <c r="E297" s="16"/>
      <c r="F297" s="16"/>
      <c r="G297" s="16"/>
      <c r="H297" s="39"/>
      <c r="I297" s="39"/>
      <c r="J297" s="39"/>
      <c r="K297" s="39"/>
      <c r="L297" s="39"/>
      <c r="M297" s="39"/>
      <c r="N297" s="39"/>
      <c r="O297" s="39"/>
      <c r="P297" s="39"/>
      <c r="Q297" s="39"/>
      <c r="R297" s="16"/>
      <c r="S297" s="16"/>
      <c r="T297" s="16"/>
      <c r="U297" s="16"/>
      <c r="V297" s="16"/>
      <c r="W297" s="16"/>
      <c r="X297" s="16"/>
      <c r="Y297" s="16"/>
      <c r="Z297" s="16"/>
      <c r="AA297" s="16"/>
      <c r="AB297" s="16"/>
    </row>
    <row r="298" spans="3:28" ht="12.75">
      <c r="C298" s="16"/>
      <c r="D298" s="16"/>
      <c r="E298" s="16"/>
      <c r="F298" s="16"/>
      <c r="G298" s="16"/>
      <c r="H298" s="39"/>
      <c r="I298" s="39"/>
      <c r="J298" s="39"/>
      <c r="K298" s="39"/>
      <c r="L298" s="39"/>
      <c r="M298" s="39"/>
      <c r="N298" s="39"/>
      <c r="O298" s="39"/>
      <c r="P298" s="39"/>
      <c r="Q298" s="39"/>
      <c r="R298" s="16"/>
      <c r="S298" s="16"/>
      <c r="T298" s="16"/>
      <c r="U298" s="16"/>
      <c r="V298" s="16"/>
      <c r="W298" s="16"/>
      <c r="X298" s="16"/>
      <c r="Y298" s="16"/>
      <c r="Z298" s="16"/>
      <c r="AA298" s="16"/>
      <c r="AB298" s="16"/>
    </row>
    <row r="299" spans="3:28" ht="12.75">
      <c r="C299" s="16"/>
      <c r="D299" s="16"/>
      <c r="E299" s="16"/>
      <c r="F299" s="16"/>
      <c r="G299" s="16"/>
      <c r="H299" s="39"/>
      <c r="I299" s="39"/>
      <c r="J299" s="39"/>
      <c r="K299" s="39"/>
      <c r="L299" s="39"/>
      <c r="M299" s="39"/>
      <c r="N299" s="39"/>
      <c r="O299" s="39"/>
      <c r="P299" s="39"/>
      <c r="Q299" s="39"/>
      <c r="R299" s="16"/>
      <c r="S299" s="16"/>
      <c r="T299" s="16"/>
      <c r="U299" s="16"/>
      <c r="V299" s="16"/>
      <c r="W299" s="16"/>
      <c r="X299" s="16"/>
      <c r="Y299" s="16"/>
      <c r="Z299" s="16"/>
      <c r="AA299" s="16"/>
      <c r="AB299" s="16"/>
    </row>
    <row r="300" spans="3:28" ht="12.75">
      <c r="C300" s="16"/>
      <c r="D300" s="16"/>
      <c r="E300" s="16"/>
      <c r="F300" s="16"/>
      <c r="G300" s="16"/>
      <c r="H300" s="39"/>
      <c r="I300" s="39"/>
      <c r="J300" s="39"/>
      <c r="K300" s="39"/>
      <c r="L300" s="39"/>
      <c r="M300" s="39"/>
      <c r="N300" s="39"/>
      <c r="O300" s="39"/>
      <c r="P300" s="39"/>
      <c r="Q300" s="39"/>
      <c r="R300" s="16"/>
      <c r="S300" s="16"/>
      <c r="T300" s="16"/>
      <c r="U300" s="16"/>
      <c r="V300" s="16"/>
      <c r="W300" s="16"/>
      <c r="X300" s="16"/>
      <c r="Y300" s="16"/>
      <c r="Z300" s="16"/>
      <c r="AA300" s="16"/>
      <c r="AB300" s="16"/>
    </row>
    <row r="301" spans="3:28" ht="12.75">
      <c r="C301" s="16"/>
      <c r="D301" s="16"/>
      <c r="E301" s="16"/>
      <c r="F301" s="16"/>
      <c r="G301" s="16"/>
      <c r="H301" s="39"/>
      <c r="I301" s="39"/>
      <c r="J301" s="39"/>
      <c r="K301" s="39"/>
      <c r="L301" s="39"/>
      <c r="M301" s="39"/>
      <c r="N301" s="39"/>
      <c r="O301" s="39"/>
      <c r="P301" s="39"/>
      <c r="Q301" s="39"/>
      <c r="R301" s="16"/>
      <c r="S301" s="16"/>
      <c r="T301" s="16"/>
      <c r="U301" s="16"/>
      <c r="V301" s="16"/>
      <c r="W301" s="16"/>
      <c r="X301" s="16"/>
      <c r="Y301" s="16"/>
      <c r="Z301" s="16"/>
      <c r="AA301" s="16"/>
      <c r="AB301" s="16"/>
    </row>
    <row r="302" spans="3:28" ht="12.75">
      <c r="C302" s="16"/>
      <c r="D302" s="16"/>
      <c r="E302" s="16"/>
      <c r="F302" s="16"/>
      <c r="G302" s="16"/>
      <c r="H302" s="39"/>
      <c r="I302" s="39"/>
      <c r="J302" s="39"/>
      <c r="K302" s="39"/>
      <c r="L302" s="39"/>
      <c r="M302" s="39"/>
      <c r="N302" s="39"/>
      <c r="O302" s="39"/>
      <c r="P302" s="39"/>
      <c r="Q302" s="39"/>
      <c r="R302" s="16"/>
      <c r="S302" s="16"/>
      <c r="T302" s="16"/>
      <c r="U302" s="16"/>
      <c r="V302" s="16"/>
      <c r="W302" s="16"/>
      <c r="X302" s="16"/>
      <c r="Y302" s="16"/>
      <c r="Z302" s="16"/>
      <c r="AA302" s="16"/>
      <c r="AB302" s="16"/>
    </row>
    <row r="303" spans="3:28" ht="12.75">
      <c r="C303" s="16"/>
      <c r="D303" s="16"/>
      <c r="E303" s="16"/>
      <c r="F303" s="16"/>
      <c r="G303" s="16"/>
      <c r="H303" s="39"/>
      <c r="I303" s="39"/>
      <c r="J303" s="39"/>
      <c r="K303" s="39"/>
      <c r="L303" s="39"/>
      <c r="M303" s="39"/>
      <c r="N303" s="39"/>
      <c r="O303" s="39"/>
      <c r="P303" s="39"/>
      <c r="Q303" s="39"/>
      <c r="R303" s="16"/>
      <c r="S303" s="16"/>
      <c r="T303" s="16"/>
      <c r="U303" s="16"/>
      <c r="V303" s="16"/>
      <c r="W303" s="16"/>
      <c r="X303" s="16"/>
      <c r="Y303" s="16"/>
      <c r="Z303" s="16"/>
      <c r="AA303" s="16"/>
      <c r="AB303" s="16"/>
    </row>
    <row r="304" spans="3:28" ht="12.75">
      <c r="C304" s="16"/>
      <c r="D304" s="16"/>
      <c r="E304" s="16"/>
      <c r="F304" s="16"/>
      <c r="G304" s="16"/>
      <c r="H304" s="39"/>
      <c r="I304" s="39"/>
      <c r="J304" s="39"/>
      <c r="K304" s="39"/>
      <c r="L304" s="39"/>
      <c r="M304" s="39"/>
      <c r="N304" s="39"/>
      <c r="O304" s="39"/>
      <c r="P304" s="39"/>
      <c r="Q304" s="39"/>
      <c r="R304" s="16"/>
      <c r="S304" s="16"/>
      <c r="T304" s="16"/>
      <c r="U304" s="16"/>
      <c r="V304" s="16"/>
      <c r="W304" s="16"/>
      <c r="X304" s="16"/>
      <c r="Y304" s="16"/>
      <c r="Z304" s="16"/>
      <c r="AA304" s="16"/>
      <c r="AB304" s="16"/>
    </row>
    <row r="305" spans="3:28" ht="12.75">
      <c r="C305" s="16"/>
      <c r="D305" s="16"/>
      <c r="E305" s="16"/>
      <c r="F305" s="16"/>
      <c r="G305" s="16"/>
      <c r="H305" s="39"/>
      <c r="I305" s="39"/>
      <c r="J305" s="39"/>
      <c r="K305" s="39"/>
      <c r="L305" s="39"/>
      <c r="M305" s="39"/>
      <c r="N305" s="39"/>
      <c r="O305" s="39"/>
      <c r="P305" s="39"/>
      <c r="Q305" s="39"/>
      <c r="R305" s="16"/>
      <c r="S305" s="16"/>
      <c r="T305" s="16"/>
      <c r="U305" s="16"/>
      <c r="V305" s="16"/>
      <c r="W305" s="16"/>
      <c r="X305" s="16"/>
      <c r="Y305" s="16"/>
      <c r="Z305" s="16"/>
      <c r="AA305" s="16"/>
      <c r="AB305" s="16"/>
    </row>
    <row r="306" spans="3:28" ht="12.75">
      <c r="C306" s="16"/>
      <c r="D306" s="16"/>
      <c r="E306" s="16"/>
      <c r="F306" s="16"/>
      <c r="G306" s="16"/>
      <c r="H306" s="39"/>
      <c r="I306" s="39"/>
      <c r="J306" s="39"/>
      <c r="K306" s="39"/>
      <c r="L306" s="39"/>
      <c r="M306" s="39"/>
      <c r="N306" s="39"/>
      <c r="O306" s="39"/>
      <c r="P306" s="39"/>
      <c r="Q306" s="39"/>
      <c r="R306" s="16"/>
      <c r="S306" s="16"/>
      <c r="T306" s="16"/>
      <c r="U306" s="16"/>
      <c r="V306" s="16"/>
      <c r="W306" s="16"/>
      <c r="X306" s="16"/>
      <c r="Y306" s="16"/>
      <c r="Z306" s="16"/>
      <c r="AA306" s="16"/>
      <c r="AB306" s="16"/>
    </row>
    <row r="307" spans="3:28" ht="12.75">
      <c r="C307" s="16"/>
      <c r="D307" s="16"/>
      <c r="E307" s="16"/>
      <c r="F307" s="16"/>
      <c r="G307" s="16"/>
      <c r="H307" s="39"/>
      <c r="I307" s="39"/>
      <c r="J307" s="39"/>
      <c r="K307" s="39"/>
      <c r="L307" s="39"/>
      <c r="M307" s="39"/>
      <c r="N307" s="39"/>
      <c r="O307" s="39"/>
      <c r="P307" s="39"/>
      <c r="Q307" s="39"/>
      <c r="R307" s="16"/>
      <c r="S307" s="16"/>
      <c r="T307" s="16"/>
      <c r="U307" s="16"/>
      <c r="V307" s="16"/>
      <c r="W307" s="16"/>
      <c r="X307" s="16"/>
      <c r="Y307" s="16"/>
      <c r="Z307" s="16"/>
      <c r="AA307" s="16"/>
      <c r="AB307" s="16"/>
    </row>
    <row r="308" spans="3:28" ht="12.75">
      <c r="C308" s="16"/>
      <c r="D308" s="16"/>
      <c r="E308" s="16"/>
      <c r="F308" s="16"/>
      <c r="G308" s="16"/>
      <c r="H308" s="39"/>
      <c r="I308" s="39"/>
      <c r="J308" s="39"/>
      <c r="K308" s="39"/>
      <c r="L308" s="39"/>
      <c r="M308" s="39"/>
      <c r="N308" s="39"/>
      <c r="O308" s="39"/>
      <c r="P308" s="39"/>
      <c r="Q308" s="39"/>
      <c r="R308" s="16"/>
      <c r="S308" s="16"/>
      <c r="T308" s="16"/>
      <c r="U308" s="16"/>
      <c r="V308" s="16"/>
      <c r="W308" s="16"/>
      <c r="X308" s="16"/>
      <c r="Y308" s="16"/>
      <c r="Z308" s="16"/>
      <c r="AA308" s="16"/>
      <c r="AB308" s="16"/>
    </row>
    <row r="309" spans="3:28" ht="12.75">
      <c r="C309" s="16"/>
      <c r="D309" s="16"/>
      <c r="E309" s="16"/>
      <c r="F309" s="16"/>
      <c r="G309" s="16"/>
      <c r="H309" s="39"/>
      <c r="I309" s="39"/>
      <c r="J309" s="39"/>
      <c r="K309" s="39"/>
      <c r="L309" s="39"/>
      <c r="M309" s="39"/>
      <c r="N309" s="39"/>
      <c r="O309" s="39"/>
      <c r="P309" s="39"/>
      <c r="Q309" s="39"/>
      <c r="R309" s="16"/>
      <c r="S309" s="16"/>
      <c r="T309" s="16"/>
      <c r="U309" s="16"/>
      <c r="V309" s="16"/>
      <c r="W309" s="16"/>
      <c r="X309" s="16"/>
      <c r="Y309" s="16"/>
      <c r="Z309" s="16"/>
      <c r="AA309" s="16"/>
      <c r="AB309" s="16"/>
    </row>
    <row r="310" spans="3:28" ht="12.75">
      <c r="C310" s="16"/>
      <c r="D310" s="16"/>
      <c r="E310" s="16"/>
      <c r="F310" s="16"/>
      <c r="G310" s="16"/>
      <c r="H310" s="39"/>
      <c r="I310" s="39"/>
      <c r="J310" s="39"/>
      <c r="K310" s="39"/>
      <c r="L310" s="39"/>
      <c r="M310" s="39"/>
      <c r="N310" s="39"/>
      <c r="O310" s="39"/>
      <c r="P310" s="39"/>
      <c r="Q310" s="39"/>
      <c r="R310" s="16"/>
      <c r="S310" s="16"/>
      <c r="T310" s="16"/>
      <c r="U310" s="16"/>
      <c r="V310" s="16"/>
      <c r="W310" s="16"/>
      <c r="X310" s="16"/>
      <c r="Y310" s="16"/>
      <c r="Z310" s="16"/>
      <c r="AA310" s="16"/>
      <c r="AB310" s="16"/>
    </row>
    <row r="311" spans="3:28" ht="12.75">
      <c r="C311" s="16"/>
      <c r="D311" s="16"/>
      <c r="E311" s="16"/>
      <c r="F311" s="16"/>
      <c r="G311" s="16"/>
      <c r="H311" s="39"/>
      <c r="I311" s="39"/>
      <c r="J311" s="39"/>
      <c r="K311" s="39"/>
      <c r="L311" s="39"/>
      <c r="M311" s="39"/>
      <c r="N311" s="39"/>
      <c r="O311" s="39"/>
      <c r="P311" s="39"/>
      <c r="Q311" s="39"/>
      <c r="R311" s="16"/>
      <c r="S311" s="16"/>
      <c r="T311" s="16"/>
      <c r="U311" s="16"/>
      <c r="V311" s="16"/>
      <c r="W311" s="16"/>
      <c r="X311" s="16"/>
      <c r="Y311" s="16"/>
      <c r="Z311" s="16"/>
      <c r="AA311" s="16"/>
      <c r="AB311" s="16"/>
    </row>
    <row r="312" spans="3:28" ht="12.75">
      <c r="C312" s="16"/>
      <c r="D312" s="16"/>
      <c r="E312" s="16"/>
      <c r="F312" s="16"/>
      <c r="G312" s="16"/>
      <c r="H312" s="39"/>
      <c r="I312" s="39"/>
      <c r="J312" s="39"/>
      <c r="K312" s="39"/>
      <c r="L312" s="39"/>
      <c r="M312" s="39"/>
      <c r="N312" s="39"/>
      <c r="O312" s="39"/>
      <c r="P312" s="39"/>
      <c r="Q312" s="39"/>
      <c r="R312" s="16"/>
      <c r="S312" s="16"/>
      <c r="T312" s="16"/>
      <c r="U312" s="16"/>
      <c r="V312" s="16"/>
      <c r="W312" s="16"/>
      <c r="X312" s="16"/>
      <c r="Y312" s="16"/>
      <c r="Z312" s="16"/>
      <c r="AA312" s="16"/>
      <c r="AB312" s="16"/>
    </row>
    <row r="313" spans="3:28" ht="12.75">
      <c r="C313" s="16"/>
      <c r="D313" s="16"/>
      <c r="E313" s="16"/>
      <c r="F313" s="16"/>
      <c r="G313" s="16"/>
      <c r="H313" s="39"/>
      <c r="I313" s="39"/>
      <c r="J313" s="39"/>
      <c r="K313" s="39"/>
      <c r="L313" s="39"/>
      <c r="M313" s="39"/>
      <c r="N313" s="39"/>
      <c r="O313" s="39"/>
      <c r="P313" s="39"/>
      <c r="Q313" s="39"/>
      <c r="R313" s="16"/>
      <c r="S313" s="16"/>
      <c r="T313" s="16"/>
      <c r="U313" s="16"/>
      <c r="V313" s="16"/>
      <c r="W313" s="16"/>
      <c r="X313" s="16"/>
      <c r="Y313" s="16"/>
      <c r="Z313" s="16"/>
      <c r="AA313" s="16"/>
      <c r="AB313" s="16"/>
    </row>
    <row r="314" spans="3:28" ht="12.75">
      <c r="C314" s="16"/>
      <c r="D314" s="16"/>
      <c r="E314" s="16"/>
      <c r="F314" s="16"/>
      <c r="G314" s="16"/>
      <c r="H314" s="39"/>
      <c r="I314" s="39"/>
      <c r="J314" s="39"/>
      <c r="K314" s="39"/>
      <c r="L314" s="39"/>
      <c r="M314" s="39"/>
      <c r="N314" s="39"/>
      <c r="O314" s="39"/>
      <c r="P314" s="39"/>
      <c r="Q314" s="39"/>
      <c r="R314" s="16"/>
      <c r="S314" s="16"/>
      <c r="T314" s="16"/>
      <c r="U314" s="16"/>
      <c r="V314" s="16"/>
      <c r="W314" s="16"/>
      <c r="X314" s="16"/>
      <c r="Y314" s="16"/>
      <c r="Z314" s="16"/>
      <c r="AA314" s="16"/>
      <c r="AB314" s="16"/>
    </row>
    <row r="315" spans="3:28" ht="12.75">
      <c r="C315" s="16"/>
      <c r="D315" s="16"/>
      <c r="E315" s="16"/>
      <c r="F315" s="16"/>
      <c r="G315" s="16"/>
      <c r="H315" s="39"/>
      <c r="I315" s="39"/>
      <c r="J315" s="39"/>
      <c r="K315" s="39"/>
      <c r="L315" s="39"/>
      <c r="M315" s="39"/>
      <c r="N315" s="39"/>
      <c r="O315" s="39"/>
      <c r="P315" s="39"/>
      <c r="Q315" s="39"/>
      <c r="R315" s="16"/>
      <c r="S315" s="16"/>
      <c r="T315" s="16"/>
      <c r="U315" s="16"/>
      <c r="V315" s="16"/>
      <c r="W315" s="16"/>
      <c r="X315" s="16"/>
      <c r="Y315" s="16"/>
      <c r="Z315" s="16"/>
      <c r="AA315" s="16"/>
      <c r="AB315" s="16"/>
    </row>
    <row r="316" spans="3:28" ht="12.75">
      <c r="C316" s="16"/>
      <c r="D316" s="16"/>
      <c r="E316" s="16"/>
      <c r="F316" s="16"/>
      <c r="G316" s="16"/>
      <c r="H316" s="39"/>
      <c r="I316" s="39"/>
      <c r="J316" s="39"/>
      <c r="K316" s="39"/>
      <c r="L316" s="39"/>
      <c r="M316" s="39"/>
      <c r="N316" s="39"/>
      <c r="O316" s="39"/>
      <c r="P316" s="39"/>
      <c r="Q316" s="39"/>
      <c r="R316" s="16"/>
      <c r="S316" s="16"/>
      <c r="T316" s="16"/>
      <c r="U316" s="16"/>
      <c r="V316" s="16"/>
      <c r="W316" s="16"/>
      <c r="X316" s="16"/>
      <c r="Y316" s="16"/>
      <c r="Z316" s="16"/>
      <c r="AA316" s="16"/>
      <c r="AB316" s="16"/>
    </row>
    <row r="317" spans="3:28" ht="12.75">
      <c r="C317" s="16"/>
      <c r="D317" s="16"/>
      <c r="E317" s="16"/>
      <c r="F317" s="16"/>
      <c r="G317" s="16"/>
      <c r="H317" s="39"/>
      <c r="I317" s="39"/>
      <c r="J317" s="39"/>
      <c r="K317" s="39"/>
      <c r="L317" s="39"/>
      <c r="M317" s="39"/>
      <c r="N317" s="39"/>
      <c r="O317" s="39"/>
      <c r="P317" s="39"/>
      <c r="Q317" s="39"/>
      <c r="R317" s="16"/>
      <c r="S317" s="16"/>
      <c r="T317" s="16"/>
      <c r="U317" s="16"/>
      <c r="V317" s="16"/>
      <c r="W317" s="16"/>
      <c r="X317" s="16"/>
      <c r="Y317" s="16"/>
      <c r="Z317" s="16"/>
      <c r="AA317" s="16"/>
      <c r="AB317" s="16"/>
    </row>
    <row r="318" spans="3:28" ht="12.75">
      <c r="C318" s="16"/>
      <c r="D318" s="16"/>
      <c r="E318" s="16"/>
      <c r="F318" s="16"/>
      <c r="G318" s="16"/>
      <c r="H318" s="39"/>
      <c r="I318" s="39"/>
      <c r="J318" s="39"/>
      <c r="K318" s="39"/>
      <c r="L318" s="39"/>
      <c r="M318" s="39"/>
      <c r="N318" s="39"/>
      <c r="O318" s="39"/>
      <c r="P318" s="39"/>
      <c r="Q318" s="39"/>
      <c r="R318" s="16"/>
      <c r="S318" s="16"/>
      <c r="T318" s="16"/>
      <c r="U318" s="16"/>
      <c r="V318" s="16"/>
      <c r="W318" s="16"/>
      <c r="X318" s="16"/>
      <c r="Y318" s="16"/>
      <c r="Z318" s="16"/>
      <c r="AA318" s="16"/>
      <c r="AB318" s="16"/>
    </row>
    <row r="319" spans="3:28" ht="12.75">
      <c r="C319" s="16"/>
      <c r="D319" s="16"/>
      <c r="E319" s="16"/>
      <c r="F319" s="16"/>
      <c r="G319" s="16"/>
      <c r="H319" s="39"/>
      <c r="I319" s="39"/>
      <c r="J319" s="39"/>
      <c r="K319" s="39"/>
      <c r="L319" s="39"/>
      <c r="M319" s="39"/>
      <c r="N319" s="39"/>
      <c r="O319" s="39"/>
      <c r="P319" s="39"/>
      <c r="Q319" s="39"/>
      <c r="R319" s="16"/>
      <c r="S319" s="16"/>
      <c r="T319" s="16"/>
      <c r="U319" s="16"/>
      <c r="V319" s="16"/>
      <c r="W319" s="16"/>
      <c r="X319" s="16"/>
      <c r="Y319" s="16"/>
      <c r="Z319" s="16"/>
      <c r="AA319" s="16"/>
      <c r="AB319" s="16"/>
    </row>
    <row r="320" spans="3:28" ht="12.75">
      <c r="C320" s="16"/>
      <c r="D320" s="16"/>
      <c r="E320" s="16"/>
      <c r="F320" s="16"/>
      <c r="G320" s="16"/>
      <c r="H320" s="39"/>
      <c r="I320" s="39"/>
      <c r="J320" s="39"/>
      <c r="K320" s="39"/>
      <c r="L320" s="39"/>
      <c r="M320" s="39"/>
      <c r="N320" s="39"/>
      <c r="O320" s="39"/>
      <c r="P320" s="39"/>
      <c r="Q320" s="39"/>
      <c r="R320" s="16"/>
      <c r="S320" s="16"/>
      <c r="T320" s="16"/>
      <c r="U320" s="16"/>
      <c r="V320" s="16"/>
      <c r="W320" s="16"/>
      <c r="X320" s="16"/>
      <c r="Y320" s="16"/>
      <c r="Z320" s="16"/>
      <c r="AA320" s="16"/>
      <c r="AB320" s="16"/>
    </row>
    <row r="321" spans="3:28" ht="12.75">
      <c r="C321" s="16"/>
      <c r="D321" s="16"/>
      <c r="E321" s="16"/>
      <c r="F321" s="16"/>
      <c r="G321" s="16"/>
      <c r="H321" s="39"/>
      <c r="I321" s="39"/>
      <c r="J321" s="39"/>
      <c r="K321" s="39"/>
      <c r="L321" s="39"/>
      <c r="M321" s="39"/>
      <c r="N321" s="39"/>
      <c r="O321" s="39"/>
      <c r="P321" s="39"/>
      <c r="Q321" s="39"/>
      <c r="R321" s="16"/>
      <c r="S321" s="16"/>
      <c r="T321" s="16"/>
      <c r="U321" s="16"/>
      <c r="V321" s="16"/>
      <c r="W321" s="16"/>
      <c r="X321" s="16"/>
      <c r="Y321" s="16"/>
      <c r="Z321" s="16"/>
      <c r="AA321" s="16"/>
      <c r="AB321" s="16"/>
    </row>
    <row r="322" spans="3:28" ht="12.75">
      <c r="C322" s="16"/>
      <c r="D322" s="16"/>
      <c r="E322" s="16"/>
      <c r="F322" s="16"/>
      <c r="G322" s="16"/>
      <c r="H322" s="39"/>
      <c r="I322" s="39"/>
      <c r="J322" s="39"/>
      <c r="K322" s="39"/>
      <c r="L322" s="39"/>
      <c r="M322" s="39"/>
      <c r="N322" s="39"/>
      <c r="O322" s="39"/>
      <c r="P322" s="39"/>
      <c r="Q322" s="39"/>
      <c r="R322" s="16"/>
      <c r="S322" s="16"/>
      <c r="T322" s="16"/>
      <c r="U322" s="16"/>
      <c r="V322" s="16"/>
      <c r="W322" s="16"/>
      <c r="X322" s="16"/>
      <c r="Y322" s="16"/>
      <c r="Z322" s="16"/>
      <c r="AA322" s="16"/>
      <c r="AB322" s="16"/>
    </row>
    <row r="323" spans="3:28" ht="12.75">
      <c r="C323" s="16"/>
      <c r="D323" s="16"/>
      <c r="E323" s="16"/>
      <c r="F323" s="16"/>
      <c r="G323" s="16"/>
      <c r="H323" s="39"/>
      <c r="I323" s="39"/>
      <c r="J323" s="39"/>
      <c r="K323" s="39"/>
      <c r="L323" s="39"/>
      <c r="M323" s="39"/>
      <c r="N323" s="39"/>
      <c r="O323" s="39"/>
      <c r="P323" s="39"/>
      <c r="Q323" s="39"/>
      <c r="R323" s="16"/>
      <c r="S323" s="16"/>
      <c r="T323" s="16"/>
      <c r="U323" s="16"/>
      <c r="V323" s="16"/>
      <c r="W323" s="16"/>
      <c r="X323" s="16"/>
      <c r="Y323" s="16"/>
      <c r="Z323" s="16"/>
      <c r="AA323" s="16"/>
      <c r="AB323" s="16"/>
    </row>
    <row r="324" spans="3:28" ht="12.75">
      <c r="C324" s="16"/>
      <c r="D324" s="16"/>
      <c r="E324" s="16"/>
      <c r="F324" s="16"/>
      <c r="G324" s="16"/>
      <c r="H324" s="39"/>
      <c r="I324" s="39"/>
      <c r="J324" s="39"/>
      <c r="K324" s="39"/>
      <c r="L324" s="39"/>
      <c r="M324" s="39"/>
      <c r="N324" s="39"/>
      <c r="O324" s="39"/>
      <c r="P324" s="39"/>
      <c r="Q324" s="39"/>
      <c r="R324" s="16"/>
      <c r="S324" s="16"/>
      <c r="T324" s="16"/>
      <c r="U324" s="16"/>
      <c r="V324" s="16"/>
      <c r="W324" s="16"/>
      <c r="X324" s="16"/>
      <c r="Y324" s="16"/>
      <c r="Z324" s="16"/>
      <c r="AA324" s="16"/>
      <c r="AB324" s="16"/>
    </row>
    <row r="325" spans="3:28" ht="12.75">
      <c r="C325" s="16"/>
      <c r="D325" s="16"/>
      <c r="E325" s="16"/>
      <c r="F325" s="16"/>
      <c r="G325" s="16"/>
      <c r="H325" s="39"/>
      <c r="I325" s="39"/>
      <c r="J325" s="39"/>
      <c r="K325" s="39"/>
      <c r="L325" s="39"/>
      <c r="M325" s="39"/>
      <c r="N325" s="39"/>
      <c r="O325" s="39"/>
      <c r="P325" s="39"/>
      <c r="Q325" s="39"/>
      <c r="R325" s="16"/>
      <c r="S325" s="16"/>
      <c r="T325" s="16"/>
      <c r="U325" s="16"/>
      <c r="V325" s="16"/>
      <c r="W325" s="16"/>
      <c r="X325" s="16"/>
      <c r="Y325" s="16"/>
      <c r="Z325" s="16"/>
      <c r="AA325" s="16"/>
      <c r="AB325" s="16"/>
    </row>
    <row r="326" spans="3:28" ht="12.75">
      <c r="C326" s="16"/>
      <c r="D326" s="16"/>
      <c r="E326" s="16"/>
      <c r="F326" s="16"/>
      <c r="G326" s="16"/>
      <c r="H326" s="39"/>
      <c r="I326" s="39"/>
      <c r="J326" s="39"/>
      <c r="K326" s="39"/>
      <c r="L326" s="39"/>
      <c r="M326" s="39"/>
      <c r="N326" s="39"/>
      <c r="O326" s="39"/>
      <c r="P326" s="39"/>
      <c r="Q326" s="39"/>
      <c r="R326" s="16"/>
      <c r="S326" s="16"/>
      <c r="T326" s="16"/>
      <c r="U326" s="16"/>
      <c r="V326" s="16"/>
      <c r="W326" s="16"/>
      <c r="X326" s="16"/>
      <c r="Y326" s="16"/>
      <c r="Z326" s="16"/>
      <c r="AA326" s="16"/>
      <c r="AB326" s="16"/>
    </row>
    <row r="327" spans="3:28" ht="12.75">
      <c r="C327" s="16"/>
      <c r="D327" s="16"/>
      <c r="E327" s="16"/>
      <c r="F327" s="16"/>
      <c r="G327" s="16"/>
      <c r="H327" s="39"/>
      <c r="I327" s="39"/>
      <c r="J327" s="39"/>
      <c r="K327" s="39"/>
      <c r="L327" s="39"/>
      <c r="M327" s="39"/>
      <c r="N327" s="39"/>
      <c r="O327" s="39"/>
      <c r="P327" s="39"/>
      <c r="Q327" s="39"/>
      <c r="R327" s="16"/>
      <c r="S327" s="16"/>
      <c r="T327" s="16"/>
      <c r="U327" s="16"/>
      <c r="V327" s="16"/>
      <c r="W327" s="16"/>
      <c r="X327" s="16"/>
      <c r="Y327" s="16"/>
      <c r="Z327" s="16"/>
      <c r="AA327" s="16"/>
      <c r="AB327" s="16"/>
    </row>
    <row r="328" spans="3:28" ht="12.75">
      <c r="C328" s="16"/>
      <c r="D328" s="16"/>
      <c r="E328" s="16"/>
      <c r="F328" s="16"/>
      <c r="G328" s="16"/>
      <c r="H328" s="39"/>
      <c r="I328" s="39"/>
      <c r="J328" s="39"/>
      <c r="K328" s="39"/>
      <c r="L328" s="39"/>
      <c r="M328" s="39"/>
      <c r="N328" s="39"/>
      <c r="O328" s="39"/>
      <c r="P328" s="39"/>
      <c r="Q328" s="39"/>
      <c r="R328" s="16"/>
      <c r="S328" s="16"/>
      <c r="T328" s="16"/>
      <c r="U328" s="16"/>
      <c r="V328" s="16"/>
      <c r="W328" s="16"/>
      <c r="X328" s="16"/>
      <c r="Y328" s="16"/>
      <c r="Z328" s="16"/>
      <c r="AA328" s="16"/>
      <c r="AB328" s="16"/>
    </row>
    <row r="329" spans="3:28" ht="12.75">
      <c r="C329" s="16"/>
      <c r="D329" s="16"/>
      <c r="E329" s="16"/>
      <c r="F329" s="16"/>
      <c r="G329" s="16"/>
      <c r="H329" s="39"/>
      <c r="I329" s="39"/>
      <c r="J329" s="39"/>
      <c r="K329" s="39"/>
      <c r="L329" s="39"/>
      <c r="M329" s="39"/>
      <c r="N329" s="39"/>
      <c r="O329" s="39"/>
      <c r="P329" s="39"/>
      <c r="Q329" s="39"/>
      <c r="R329" s="16"/>
      <c r="S329" s="16"/>
      <c r="T329" s="16"/>
      <c r="U329" s="16"/>
      <c r="V329" s="16"/>
      <c r="W329" s="16"/>
      <c r="X329" s="16"/>
      <c r="Y329" s="16"/>
      <c r="Z329" s="16"/>
      <c r="AA329" s="16"/>
      <c r="AB329" s="16"/>
    </row>
    <row r="330" spans="3:28" ht="12.75">
      <c r="C330" s="16"/>
      <c r="D330" s="16"/>
      <c r="E330" s="16"/>
      <c r="F330" s="16"/>
      <c r="G330" s="16"/>
      <c r="H330" s="39"/>
      <c r="I330" s="39"/>
      <c r="J330" s="39"/>
      <c r="K330" s="39"/>
      <c r="L330" s="39"/>
      <c r="M330" s="39"/>
      <c r="N330" s="39"/>
      <c r="O330" s="39"/>
      <c r="P330" s="39"/>
      <c r="Q330" s="39"/>
      <c r="R330" s="16"/>
      <c r="S330" s="16"/>
      <c r="T330" s="16"/>
      <c r="U330" s="16"/>
      <c r="V330" s="16"/>
      <c r="W330" s="16"/>
      <c r="X330" s="16"/>
      <c r="Y330" s="16"/>
      <c r="Z330" s="16"/>
      <c r="AA330" s="16"/>
      <c r="AB330" s="16"/>
    </row>
    <row r="331" spans="3:28" ht="12.75">
      <c r="C331" s="16"/>
      <c r="D331" s="16"/>
      <c r="E331" s="16"/>
      <c r="F331" s="16"/>
      <c r="G331" s="16"/>
      <c r="H331" s="39"/>
      <c r="I331" s="39"/>
      <c r="J331" s="39"/>
      <c r="K331" s="39"/>
      <c r="L331" s="39"/>
      <c r="M331" s="39"/>
      <c r="N331" s="39"/>
      <c r="O331" s="39"/>
      <c r="P331" s="39"/>
      <c r="Q331" s="39"/>
      <c r="R331" s="16"/>
      <c r="S331" s="16"/>
      <c r="T331" s="16"/>
      <c r="U331" s="16"/>
      <c r="V331" s="16"/>
      <c r="W331" s="16"/>
      <c r="X331" s="16"/>
      <c r="Y331" s="16"/>
      <c r="Z331" s="16"/>
      <c r="AA331" s="16"/>
      <c r="AB331" s="16"/>
    </row>
    <row r="332" spans="3:28" ht="12.75">
      <c r="C332" s="16"/>
      <c r="D332" s="16"/>
      <c r="E332" s="16"/>
      <c r="F332" s="16"/>
      <c r="G332" s="16"/>
      <c r="H332" s="39"/>
      <c r="I332" s="39"/>
      <c r="J332" s="39"/>
      <c r="K332" s="39"/>
      <c r="L332" s="39"/>
      <c r="M332" s="39"/>
      <c r="N332" s="39"/>
      <c r="O332" s="39"/>
      <c r="P332" s="39"/>
      <c r="Q332" s="39"/>
      <c r="R332" s="16"/>
      <c r="S332" s="16"/>
      <c r="T332" s="16"/>
      <c r="U332" s="16"/>
      <c r="V332" s="16"/>
      <c r="W332" s="16"/>
      <c r="X332" s="16"/>
      <c r="Y332" s="16"/>
      <c r="Z332" s="16"/>
      <c r="AA332" s="16"/>
      <c r="AB332" s="16"/>
    </row>
    <row r="333" spans="3:28" ht="12.75">
      <c r="C333" s="16"/>
      <c r="D333" s="16"/>
      <c r="E333" s="16"/>
      <c r="F333" s="16"/>
      <c r="G333" s="16"/>
      <c r="H333" s="39"/>
      <c r="I333" s="39"/>
      <c r="J333" s="39"/>
      <c r="K333" s="39"/>
      <c r="L333" s="39"/>
      <c r="M333" s="39"/>
      <c r="N333" s="39"/>
      <c r="O333" s="39"/>
      <c r="P333" s="39"/>
      <c r="Q333" s="39"/>
      <c r="R333" s="16"/>
      <c r="S333" s="16"/>
      <c r="T333" s="16"/>
      <c r="U333" s="16"/>
      <c r="V333" s="16"/>
      <c r="W333" s="16"/>
      <c r="X333" s="16"/>
      <c r="Y333" s="16"/>
      <c r="Z333" s="16"/>
      <c r="AA333" s="16"/>
      <c r="AB333" s="16"/>
    </row>
    <row r="334" spans="3:28" ht="12.75">
      <c r="C334" s="16"/>
      <c r="D334" s="16"/>
      <c r="E334" s="16"/>
      <c r="F334" s="16"/>
      <c r="G334" s="16"/>
      <c r="H334" s="39"/>
      <c r="I334" s="39"/>
      <c r="J334" s="39"/>
      <c r="K334" s="39"/>
      <c r="L334" s="39"/>
      <c r="M334" s="39"/>
      <c r="N334" s="39"/>
      <c r="O334" s="39"/>
      <c r="P334" s="39"/>
      <c r="Q334" s="39"/>
      <c r="R334" s="16"/>
      <c r="S334" s="16"/>
      <c r="T334" s="16"/>
      <c r="U334" s="16"/>
      <c r="V334" s="16"/>
      <c r="W334" s="16"/>
      <c r="X334" s="16"/>
      <c r="Y334" s="16"/>
      <c r="Z334" s="16"/>
      <c r="AA334" s="16"/>
      <c r="AB334" s="16"/>
    </row>
    <row r="335" spans="3:28" ht="12.75">
      <c r="C335" s="16"/>
      <c r="D335" s="16"/>
      <c r="E335" s="16"/>
      <c r="F335" s="16"/>
      <c r="G335" s="16"/>
      <c r="H335" s="39"/>
      <c r="I335" s="39"/>
      <c r="J335" s="39"/>
      <c r="K335" s="39"/>
      <c r="L335" s="39"/>
      <c r="M335" s="39"/>
      <c r="N335" s="39"/>
      <c r="O335" s="39"/>
      <c r="P335" s="39"/>
      <c r="Q335" s="39"/>
      <c r="R335" s="16"/>
      <c r="S335" s="16"/>
      <c r="T335" s="16"/>
      <c r="U335" s="16"/>
      <c r="V335" s="16"/>
      <c r="W335" s="16"/>
      <c r="X335" s="16"/>
      <c r="Y335" s="16"/>
      <c r="Z335" s="16"/>
      <c r="AA335" s="16"/>
      <c r="AB335" s="16"/>
    </row>
    <row r="336" spans="3:28" ht="12.75">
      <c r="C336" s="16"/>
      <c r="D336" s="16"/>
      <c r="E336" s="16"/>
      <c r="F336" s="16"/>
      <c r="G336" s="16"/>
      <c r="H336" s="39"/>
      <c r="I336" s="39"/>
      <c r="J336" s="39"/>
      <c r="K336" s="39"/>
      <c r="L336" s="39"/>
      <c r="M336" s="39"/>
      <c r="N336" s="39"/>
      <c r="O336" s="39"/>
      <c r="P336" s="39"/>
      <c r="Q336" s="39"/>
      <c r="R336" s="16"/>
      <c r="S336" s="16"/>
      <c r="T336" s="16"/>
      <c r="U336" s="16"/>
      <c r="V336" s="16"/>
      <c r="W336" s="16"/>
      <c r="X336" s="16"/>
      <c r="Y336" s="16"/>
      <c r="Z336" s="16"/>
      <c r="AA336" s="16"/>
      <c r="AB336" s="16"/>
    </row>
    <row r="337" spans="3:28" ht="12.75">
      <c r="C337" s="16"/>
      <c r="D337" s="16"/>
      <c r="E337" s="16"/>
      <c r="F337" s="16"/>
      <c r="G337" s="16"/>
      <c r="H337" s="39"/>
      <c r="I337" s="39"/>
      <c r="J337" s="39"/>
      <c r="K337" s="39"/>
      <c r="L337" s="39"/>
      <c r="M337" s="39"/>
      <c r="N337" s="39"/>
      <c r="O337" s="39"/>
      <c r="P337" s="39"/>
      <c r="Q337" s="39"/>
      <c r="R337" s="16"/>
      <c r="S337" s="16"/>
      <c r="T337" s="16"/>
      <c r="U337" s="16"/>
      <c r="V337" s="16"/>
      <c r="W337" s="16"/>
      <c r="X337" s="16"/>
      <c r="Y337" s="16"/>
      <c r="Z337" s="16"/>
      <c r="AA337" s="16"/>
      <c r="AB337" s="16"/>
    </row>
    <row r="338" spans="3:28" ht="12.75">
      <c r="C338" s="16"/>
      <c r="D338" s="16"/>
      <c r="E338" s="16"/>
      <c r="F338" s="16"/>
      <c r="G338" s="16"/>
      <c r="H338" s="39"/>
      <c r="I338" s="39"/>
      <c r="J338" s="39"/>
      <c r="K338" s="39"/>
      <c r="L338" s="39"/>
      <c r="M338" s="39"/>
      <c r="N338" s="39"/>
      <c r="O338" s="39"/>
      <c r="P338" s="39"/>
      <c r="Q338" s="39"/>
      <c r="R338" s="16"/>
      <c r="S338" s="16"/>
      <c r="T338" s="16"/>
      <c r="U338" s="16"/>
      <c r="V338" s="16"/>
      <c r="W338" s="16"/>
      <c r="X338" s="16"/>
      <c r="Y338" s="16"/>
      <c r="Z338" s="16"/>
      <c r="AA338" s="16"/>
      <c r="AB338" s="16"/>
    </row>
    <row r="339" spans="3:28" ht="12.75">
      <c r="C339" s="16"/>
      <c r="D339" s="16"/>
      <c r="E339" s="16"/>
      <c r="F339" s="16"/>
      <c r="G339" s="16"/>
      <c r="H339" s="39"/>
      <c r="I339" s="39"/>
      <c r="J339" s="39"/>
      <c r="K339" s="39"/>
      <c r="L339" s="39"/>
      <c r="M339" s="39"/>
      <c r="N339" s="39"/>
      <c r="O339" s="39"/>
      <c r="P339" s="39"/>
      <c r="Q339" s="39"/>
      <c r="R339" s="16"/>
      <c r="S339" s="16"/>
      <c r="T339" s="16"/>
      <c r="U339" s="16"/>
      <c r="V339" s="16"/>
      <c r="W339" s="16"/>
      <c r="X339" s="16"/>
      <c r="Y339" s="16"/>
      <c r="Z339" s="16"/>
      <c r="AA339" s="16"/>
      <c r="AB339" s="16"/>
    </row>
    <row r="340" spans="3:28" ht="12.75">
      <c r="C340" s="16"/>
      <c r="D340" s="16"/>
      <c r="E340" s="16"/>
      <c r="F340" s="16"/>
      <c r="G340" s="16"/>
      <c r="H340" s="39"/>
      <c r="I340" s="39"/>
      <c r="J340" s="39"/>
      <c r="K340" s="39"/>
      <c r="L340" s="39"/>
      <c r="M340" s="39"/>
      <c r="N340" s="39"/>
      <c r="O340" s="39"/>
      <c r="P340" s="39"/>
      <c r="Q340" s="39"/>
      <c r="R340" s="16"/>
      <c r="S340" s="16"/>
      <c r="T340" s="16"/>
      <c r="U340" s="16"/>
      <c r="V340" s="16"/>
      <c r="W340" s="16"/>
      <c r="X340" s="16"/>
      <c r="Y340" s="16"/>
      <c r="Z340" s="16"/>
      <c r="AA340" s="16"/>
      <c r="AB340" s="16"/>
    </row>
    <row r="341" spans="3:28" ht="12.75">
      <c r="C341" s="16"/>
      <c r="D341" s="16"/>
      <c r="E341" s="16"/>
      <c r="F341" s="16"/>
      <c r="G341" s="16"/>
      <c r="H341" s="39"/>
      <c r="I341" s="39"/>
      <c r="J341" s="39"/>
      <c r="K341" s="39"/>
      <c r="L341" s="39"/>
      <c r="M341" s="39"/>
      <c r="N341" s="39"/>
      <c r="O341" s="39"/>
      <c r="P341" s="39"/>
      <c r="Q341" s="39"/>
      <c r="R341" s="16"/>
      <c r="S341" s="16"/>
      <c r="T341" s="16"/>
      <c r="U341" s="16"/>
      <c r="V341" s="16"/>
      <c r="W341" s="16"/>
      <c r="X341" s="16"/>
      <c r="Y341" s="16"/>
      <c r="Z341" s="16"/>
      <c r="AA341" s="16"/>
      <c r="AB341" s="16"/>
    </row>
    <row r="342" spans="3:28" ht="12.75">
      <c r="C342" s="16"/>
      <c r="D342" s="16"/>
      <c r="E342" s="16"/>
      <c r="F342" s="16"/>
      <c r="G342" s="16"/>
      <c r="H342" s="39"/>
      <c r="I342" s="39"/>
      <c r="J342" s="39"/>
      <c r="K342" s="39"/>
      <c r="L342" s="39"/>
      <c r="M342" s="39"/>
      <c r="N342" s="39"/>
      <c r="O342" s="39"/>
      <c r="P342" s="39"/>
      <c r="Q342" s="39"/>
      <c r="R342" s="16"/>
      <c r="S342" s="16"/>
      <c r="T342" s="16"/>
      <c r="U342" s="16"/>
      <c r="V342" s="16"/>
      <c r="W342" s="16"/>
      <c r="X342" s="16"/>
      <c r="Y342" s="16"/>
      <c r="Z342" s="16"/>
      <c r="AA342" s="16"/>
      <c r="AB342" s="16"/>
    </row>
    <row r="343" spans="3:28" ht="12.75">
      <c r="C343" s="16"/>
      <c r="D343" s="16"/>
      <c r="E343" s="16"/>
      <c r="F343" s="16"/>
      <c r="G343" s="16"/>
      <c r="H343" s="39"/>
      <c r="I343" s="39"/>
      <c r="J343" s="39"/>
      <c r="K343" s="39"/>
      <c r="L343" s="39"/>
      <c r="M343" s="39"/>
      <c r="N343" s="39"/>
      <c r="O343" s="39"/>
      <c r="P343" s="39"/>
      <c r="Q343" s="39"/>
      <c r="R343" s="16"/>
      <c r="S343" s="16"/>
      <c r="T343" s="16"/>
      <c r="U343" s="16"/>
      <c r="V343" s="16"/>
      <c r="W343" s="16"/>
      <c r="X343" s="16"/>
      <c r="Y343" s="16"/>
      <c r="Z343" s="16"/>
      <c r="AA343" s="16"/>
      <c r="AB343" s="16"/>
    </row>
    <row r="344" spans="3:28" ht="12.75">
      <c r="C344" s="16"/>
      <c r="D344" s="16"/>
      <c r="E344" s="16"/>
      <c r="F344" s="16"/>
      <c r="G344" s="16"/>
      <c r="H344" s="39"/>
      <c r="I344" s="39"/>
      <c r="J344" s="39"/>
      <c r="K344" s="39"/>
      <c r="L344" s="39"/>
      <c r="M344" s="39"/>
      <c r="N344" s="39"/>
      <c r="O344" s="39"/>
      <c r="P344" s="39"/>
      <c r="Q344" s="39"/>
      <c r="R344" s="16"/>
      <c r="S344" s="16"/>
      <c r="T344" s="16"/>
      <c r="U344" s="16"/>
      <c r="V344" s="16"/>
      <c r="W344" s="16"/>
      <c r="X344" s="16"/>
      <c r="Y344" s="16"/>
      <c r="Z344" s="16"/>
      <c r="AA344" s="16"/>
      <c r="AB344" s="16"/>
    </row>
    <row r="345" spans="3:28" ht="12.75">
      <c r="C345" s="16"/>
      <c r="D345" s="16"/>
      <c r="E345" s="16"/>
      <c r="F345" s="16"/>
      <c r="G345" s="16"/>
      <c r="H345" s="39"/>
      <c r="I345" s="39"/>
      <c r="J345" s="39"/>
      <c r="K345" s="39"/>
      <c r="L345" s="39"/>
      <c r="M345" s="39"/>
      <c r="N345" s="39"/>
      <c r="O345" s="39"/>
      <c r="P345" s="39"/>
      <c r="Q345" s="39"/>
      <c r="R345" s="16"/>
      <c r="S345" s="16"/>
      <c r="T345" s="16"/>
      <c r="U345" s="16"/>
      <c r="V345" s="16"/>
      <c r="W345" s="16"/>
      <c r="X345" s="16"/>
      <c r="Y345" s="16"/>
      <c r="Z345" s="16"/>
      <c r="AA345" s="16"/>
      <c r="AB345" s="16"/>
    </row>
    <row r="346" spans="3:28" ht="12.75">
      <c r="C346" s="16"/>
      <c r="D346" s="16"/>
      <c r="E346" s="16"/>
      <c r="F346" s="16"/>
      <c r="G346" s="16"/>
      <c r="H346" s="39"/>
      <c r="I346" s="39"/>
      <c r="J346" s="39"/>
      <c r="K346" s="39"/>
      <c r="L346" s="39"/>
      <c r="M346" s="39"/>
      <c r="N346" s="39"/>
      <c r="O346" s="39"/>
      <c r="P346" s="39"/>
      <c r="Q346" s="39"/>
      <c r="R346" s="16"/>
      <c r="S346" s="16"/>
      <c r="T346" s="16"/>
      <c r="U346" s="16"/>
      <c r="V346" s="16"/>
      <c r="W346" s="16"/>
      <c r="X346" s="16"/>
      <c r="Y346" s="16"/>
      <c r="Z346" s="16"/>
      <c r="AA346" s="16"/>
      <c r="AB346" s="16"/>
    </row>
    <row r="347" spans="3:28" ht="12.75">
      <c r="C347" s="16"/>
      <c r="D347" s="16"/>
      <c r="E347" s="16"/>
      <c r="F347" s="16"/>
      <c r="G347" s="16"/>
      <c r="H347" s="39"/>
      <c r="I347" s="39"/>
      <c r="J347" s="39"/>
      <c r="K347" s="39"/>
      <c r="L347" s="39"/>
      <c r="M347" s="39"/>
      <c r="N347" s="39"/>
      <c r="O347" s="39"/>
      <c r="P347" s="39"/>
      <c r="Q347" s="39"/>
      <c r="R347" s="16"/>
      <c r="S347" s="16"/>
      <c r="T347" s="16"/>
      <c r="U347" s="16"/>
      <c r="V347" s="16"/>
      <c r="W347" s="16"/>
      <c r="X347" s="16"/>
      <c r="Y347" s="16"/>
      <c r="Z347" s="16"/>
      <c r="AA347" s="16"/>
      <c r="AB347" s="16"/>
    </row>
    <row r="348" spans="3:28" ht="12.75">
      <c r="C348" s="16"/>
      <c r="D348" s="16"/>
      <c r="E348" s="16"/>
      <c r="F348" s="16"/>
      <c r="G348" s="16"/>
      <c r="H348" s="39"/>
      <c r="I348" s="39"/>
      <c r="J348" s="39"/>
      <c r="K348" s="39"/>
      <c r="L348" s="39"/>
      <c r="M348" s="39"/>
      <c r="N348" s="39"/>
      <c r="O348" s="39"/>
      <c r="P348" s="39"/>
      <c r="Q348" s="39"/>
      <c r="R348" s="16"/>
      <c r="S348" s="16"/>
      <c r="T348" s="16"/>
      <c r="U348" s="16"/>
      <c r="V348" s="16"/>
      <c r="W348" s="16"/>
      <c r="X348" s="16"/>
      <c r="Y348" s="16"/>
      <c r="Z348" s="16"/>
      <c r="AA348" s="16"/>
      <c r="AB348" s="16"/>
    </row>
    <row r="349" spans="3:28" ht="12.75">
      <c r="C349" s="16"/>
      <c r="D349" s="16"/>
      <c r="E349" s="16"/>
      <c r="F349" s="16"/>
      <c r="G349" s="16"/>
      <c r="H349" s="39"/>
      <c r="I349" s="39"/>
      <c r="J349" s="39"/>
      <c r="K349" s="39"/>
      <c r="L349" s="39"/>
      <c r="M349" s="39"/>
      <c r="N349" s="39"/>
      <c r="O349" s="39"/>
      <c r="P349" s="39"/>
      <c r="Q349" s="39"/>
      <c r="R349" s="16"/>
      <c r="S349" s="16"/>
      <c r="T349" s="16"/>
      <c r="U349" s="16"/>
      <c r="V349" s="16"/>
      <c r="W349" s="16"/>
      <c r="X349" s="16"/>
      <c r="Y349" s="16"/>
      <c r="Z349" s="16"/>
      <c r="AA349" s="16"/>
      <c r="AB349" s="16"/>
    </row>
    <row r="350" spans="3:28" ht="12.75">
      <c r="C350" s="16"/>
      <c r="D350" s="16"/>
      <c r="E350" s="16"/>
      <c r="F350" s="16"/>
      <c r="G350" s="16"/>
      <c r="H350" s="39"/>
      <c r="I350" s="39"/>
      <c r="J350" s="39"/>
      <c r="K350" s="39"/>
      <c r="L350" s="39"/>
      <c r="M350" s="39"/>
      <c r="N350" s="39"/>
      <c r="O350" s="39"/>
      <c r="P350" s="39"/>
      <c r="Q350" s="39"/>
      <c r="R350" s="16"/>
      <c r="S350" s="16"/>
      <c r="T350" s="16"/>
      <c r="U350" s="16"/>
      <c r="V350" s="16"/>
      <c r="W350" s="16"/>
      <c r="X350" s="16"/>
      <c r="Y350" s="16"/>
      <c r="Z350" s="16"/>
      <c r="AA350" s="16"/>
      <c r="AB350" s="16"/>
    </row>
    <row r="351" spans="3:28" ht="12.75">
      <c r="C351" s="16"/>
      <c r="D351" s="16"/>
      <c r="E351" s="16"/>
      <c r="F351" s="16"/>
      <c r="G351" s="16"/>
      <c r="H351" s="39"/>
      <c r="I351" s="39"/>
      <c r="J351" s="39"/>
      <c r="K351" s="39"/>
      <c r="L351" s="39"/>
      <c r="M351" s="39"/>
      <c r="N351" s="39"/>
      <c r="O351" s="39"/>
      <c r="P351" s="39"/>
      <c r="Q351" s="39"/>
      <c r="R351" s="16"/>
      <c r="S351" s="16"/>
      <c r="T351" s="16"/>
      <c r="U351" s="16"/>
      <c r="V351" s="16"/>
      <c r="W351" s="16"/>
      <c r="X351" s="16"/>
      <c r="Y351" s="16"/>
      <c r="Z351" s="16"/>
      <c r="AA351" s="16"/>
      <c r="AB351" s="16"/>
    </row>
    <row r="352" spans="3:28" ht="12.75">
      <c r="C352" s="16"/>
      <c r="D352" s="16"/>
      <c r="E352" s="16"/>
      <c r="F352" s="16"/>
      <c r="G352" s="16"/>
      <c r="H352" s="39"/>
      <c r="I352" s="39"/>
      <c r="J352" s="39"/>
      <c r="K352" s="39"/>
      <c r="L352" s="39"/>
      <c r="M352" s="39"/>
      <c r="N352" s="39"/>
      <c r="O352" s="39"/>
      <c r="P352" s="39"/>
      <c r="Q352" s="39"/>
      <c r="R352" s="16"/>
      <c r="S352" s="16"/>
      <c r="T352" s="16"/>
      <c r="U352" s="16"/>
      <c r="V352" s="16"/>
      <c r="W352" s="16"/>
      <c r="X352" s="16"/>
      <c r="Y352" s="16"/>
      <c r="Z352" s="16"/>
      <c r="AA352" s="16"/>
      <c r="AB352" s="16"/>
    </row>
    <row r="353" spans="3:28" ht="12.75">
      <c r="C353" s="16"/>
      <c r="D353" s="16"/>
      <c r="E353" s="16"/>
      <c r="F353" s="16"/>
      <c r="G353" s="16"/>
      <c r="H353" s="39"/>
      <c r="I353" s="39"/>
      <c r="J353" s="39"/>
      <c r="K353" s="39"/>
      <c r="L353" s="39"/>
      <c r="M353" s="39"/>
      <c r="N353" s="39"/>
      <c r="O353" s="39"/>
      <c r="P353" s="39"/>
      <c r="Q353" s="39"/>
      <c r="R353" s="16"/>
      <c r="S353" s="16"/>
      <c r="T353" s="16"/>
      <c r="U353" s="16"/>
      <c r="V353" s="16"/>
      <c r="W353" s="16"/>
      <c r="X353" s="16"/>
      <c r="Y353" s="16"/>
      <c r="Z353" s="16"/>
      <c r="AA353" s="16"/>
      <c r="AB353" s="16"/>
    </row>
    <row r="354" spans="3:28" ht="12.75">
      <c r="C354" s="16"/>
      <c r="D354" s="16"/>
      <c r="E354" s="16"/>
      <c r="F354" s="16"/>
      <c r="G354" s="16"/>
      <c r="H354" s="39"/>
      <c r="I354" s="39"/>
      <c r="J354" s="39"/>
      <c r="K354" s="39"/>
      <c r="L354" s="39"/>
      <c r="M354" s="39"/>
      <c r="N354" s="39"/>
      <c r="O354" s="39"/>
      <c r="P354" s="39"/>
      <c r="Q354" s="39"/>
      <c r="R354" s="16"/>
      <c r="S354" s="16"/>
      <c r="T354" s="16"/>
      <c r="U354" s="16"/>
      <c r="V354" s="16"/>
      <c r="W354" s="16"/>
      <c r="X354" s="16"/>
      <c r="Y354" s="16"/>
      <c r="Z354" s="16"/>
      <c r="AA354" s="16"/>
      <c r="AB354" s="16"/>
    </row>
    <row r="355" spans="3:28" ht="12.75">
      <c r="C355" s="16"/>
      <c r="D355" s="16"/>
      <c r="E355" s="16"/>
      <c r="F355" s="16"/>
      <c r="G355" s="16"/>
      <c r="H355" s="39"/>
      <c r="I355" s="39"/>
      <c r="J355" s="39"/>
      <c r="K355" s="39"/>
      <c r="L355" s="39"/>
      <c r="M355" s="39"/>
      <c r="N355" s="39"/>
      <c r="O355" s="39"/>
      <c r="P355" s="39"/>
      <c r="Q355" s="39"/>
      <c r="R355" s="16"/>
      <c r="S355" s="16"/>
      <c r="T355" s="16"/>
      <c r="U355" s="16"/>
      <c r="V355" s="16"/>
      <c r="W355" s="16"/>
      <c r="X355" s="16"/>
      <c r="Y355" s="16"/>
      <c r="Z355" s="16"/>
      <c r="AA355" s="16"/>
      <c r="AB355" s="16"/>
    </row>
    <row r="356" spans="3:28" ht="12.75">
      <c r="C356" s="16"/>
      <c r="D356" s="16"/>
      <c r="E356" s="16"/>
      <c r="F356" s="16"/>
      <c r="G356" s="16"/>
      <c r="H356" s="39"/>
      <c r="I356" s="39"/>
      <c r="J356" s="39"/>
      <c r="K356" s="39"/>
      <c r="L356" s="39"/>
      <c r="M356" s="39"/>
      <c r="N356" s="39"/>
      <c r="O356" s="39"/>
      <c r="P356" s="39"/>
      <c r="Q356" s="39"/>
      <c r="R356" s="16"/>
      <c r="S356" s="16"/>
      <c r="T356" s="16"/>
      <c r="U356" s="16"/>
      <c r="V356" s="16"/>
      <c r="W356" s="16"/>
      <c r="X356" s="16"/>
      <c r="Y356" s="16"/>
      <c r="Z356" s="16"/>
      <c r="AA356" s="16"/>
      <c r="AB356" s="16"/>
    </row>
    <row r="357" spans="3:28" ht="12.75">
      <c r="C357" s="16"/>
      <c r="D357" s="16"/>
      <c r="E357" s="16"/>
      <c r="F357" s="16"/>
      <c r="G357" s="16"/>
      <c r="H357" s="39"/>
      <c r="I357" s="39"/>
      <c r="J357" s="39"/>
      <c r="K357" s="39"/>
      <c r="L357" s="39"/>
      <c r="M357" s="39"/>
      <c r="N357" s="39"/>
      <c r="O357" s="39"/>
      <c r="P357" s="39"/>
      <c r="Q357" s="39"/>
      <c r="R357" s="16"/>
      <c r="S357" s="16"/>
      <c r="T357" s="16"/>
      <c r="U357" s="16"/>
      <c r="V357" s="16"/>
      <c r="W357" s="16"/>
      <c r="X357" s="16"/>
      <c r="Y357" s="16"/>
      <c r="Z357" s="16"/>
      <c r="AA357" s="16"/>
      <c r="AB357" s="16"/>
    </row>
    <row r="358" spans="3:28" ht="12.75">
      <c r="C358" s="16"/>
      <c r="D358" s="16"/>
      <c r="E358" s="16"/>
      <c r="F358" s="16"/>
      <c r="G358" s="16"/>
      <c r="H358" s="39"/>
      <c r="I358" s="39"/>
      <c r="J358" s="39"/>
      <c r="K358" s="39"/>
      <c r="L358" s="39"/>
      <c r="M358" s="39"/>
      <c r="N358" s="39"/>
      <c r="O358" s="39"/>
      <c r="P358" s="39"/>
      <c r="Q358" s="39"/>
      <c r="R358" s="16"/>
      <c r="S358" s="16"/>
      <c r="T358" s="16"/>
      <c r="U358" s="16"/>
      <c r="V358" s="16"/>
      <c r="W358" s="16"/>
      <c r="X358" s="16"/>
      <c r="Y358" s="16"/>
      <c r="Z358" s="16"/>
      <c r="AA358" s="16"/>
      <c r="AB358" s="16"/>
    </row>
    <row r="359" spans="3:28" ht="12.75">
      <c r="C359" s="16"/>
      <c r="D359" s="16"/>
      <c r="E359" s="16"/>
      <c r="F359" s="16"/>
      <c r="G359" s="16"/>
      <c r="H359" s="39"/>
      <c r="I359" s="39"/>
      <c r="J359" s="39"/>
      <c r="K359" s="39"/>
      <c r="L359" s="39"/>
      <c r="M359" s="39"/>
      <c r="N359" s="39"/>
      <c r="O359" s="39"/>
      <c r="P359" s="39"/>
      <c r="Q359" s="39"/>
      <c r="R359" s="16"/>
      <c r="S359" s="16"/>
      <c r="T359" s="16"/>
      <c r="U359" s="16"/>
      <c r="V359" s="16"/>
      <c r="W359" s="16"/>
      <c r="X359" s="16"/>
      <c r="Y359" s="16"/>
      <c r="Z359" s="16"/>
      <c r="AA359" s="16"/>
      <c r="AB359" s="16"/>
    </row>
    <row r="360" spans="3:28" ht="12.75">
      <c r="C360" s="16"/>
      <c r="D360" s="16"/>
      <c r="E360" s="16"/>
      <c r="F360" s="16"/>
      <c r="G360" s="16"/>
      <c r="H360" s="39"/>
      <c r="I360" s="39"/>
      <c r="J360" s="39"/>
      <c r="K360" s="39"/>
      <c r="L360" s="39"/>
      <c r="M360" s="39"/>
      <c r="N360" s="39"/>
      <c r="O360" s="39"/>
      <c r="P360" s="39"/>
      <c r="Q360" s="39"/>
      <c r="R360" s="16"/>
      <c r="S360" s="16"/>
      <c r="T360" s="16"/>
      <c r="U360" s="16"/>
      <c r="V360" s="16"/>
      <c r="W360" s="16"/>
      <c r="X360" s="16"/>
      <c r="Y360" s="16"/>
      <c r="Z360" s="16"/>
      <c r="AA360" s="16"/>
      <c r="AB360" s="16"/>
    </row>
    <row r="361" spans="3:28" ht="12.75">
      <c r="C361" s="16"/>
      <c r="D361" s="16"/>
      <c r="E361" s="16"/>
      <c r="F361" s="16"/>
      <c r="G361" s="16"/>
      <c r="H361" s="39"/>
      <c r="I361" s="39"/>
      <c r="J361" s="39"/>
      <c r="K361" s="39"/>
      <c r="L361" s="39"/>
      <c r="M361" s="39"/>
      <c r="N361" s="39"/>
      <c r="O361" s="39"/>
      <c r="P361" s="39"/>
      <c r="Q361" s="39"/>
      <c r="R361" s="16"/>
      <c r="S361" s="16"/>
      <c r="T361" s="16"/>
      <c r="U361" s="16"/>
      <c r="V361" s="16"/>
      <c r="W361" s="16"/>
      <c r="X361" s="16"/>
      <c r="Y361" s="16"/>
      <c r="Z361" s="16"/>
      <c r="AA361" s="16"/>
      <c r="AB361" s="16"/>
    </row>
    <row r="362" spans="3:28" ht="12.75">
      <c r="C362" s="16"/>
      <c r="D362" s="16"/>
      <c r="E362" s="16"/>
      <c r="F362" s="16"/>
      <c r="G362" s="16"/>
      <c r="H362" s="39"/>
      <c r="I362" s="39"/>
      <c r="J362" s="39"/>
      <c r="K362" s="39"/>
      <c r="L362" s="39"/>
      <c r="M362" s="39"/>
      <c r="N362" s="39"/>
      <c r="O362" s="39"/>
      <c r="P362" s="39"/>
      <c r="Q362" s="39"/>
      <c r="R362" s="16"/>
      <c r="S362" s="16"/>
      <c r="T362" s="16"/>
      <c r="U362" s="16"/>
      <c r="V362" s="16"/>
      <c r="W362" s="16"/>
      <c r="X362" s="16"/>
      <c r="Y362" s="16"/>
      <c r="Z362" s="16"/>
      <c r="AA362" s="16"/>
      <c r="AB362" s="16"/>
    </row>
    <row r="363" spans="3:28" ht="12.75">
      <c r="C363" s="16"/>
      <c r="D363" s="16"/>
      <c r="E363" s="16"/>
      <c r="F363" s="16"/>
      <c r="G363" s="16"/>
      <c r="H363" s="39"/>
      <c r="I363" s="39"/>
      <c r="J363" s="39"/>
      <c r="K363" s="39"/>
      <c r="L363" s="39"/>
      <c r="M363" s="39"/>
      <c r="N363" s="39"/>
      <c r="O363" s="39"/>
      <c r="P363" s="39"/>
      <c r="Q363" s="39"/>
      <c r="R363" s="16"/>
      <c r="S363" s="16"/>
      <c r="T363" s="16"/>
      <c r="U363" s="16"/>
      <c r="V363" s="16"/>
      <c r="W363" s="16"/>
      <c r="X363" s="16"/>
      <c r="Y363" s="16"/>
      <c r="Z363" s="16"/>
      <c r="AA363" s="16"/>
      <c r="AB363" s="16"/>
    </row>
    <row r="364" spans="3:28" ht="12.75">
      <c r="C364" s="16"/>
      <c r="D364" s="16"/>
      <c r="E364" s="16"/>
      <c r="F364" s="16"/>
      <c r="G364" s="16"/>
      <c r="H364" s="39"/>
      <c r="I364" s="39"/>
      <c r="J364" s="39"/>
      <c r="K364" s="39"/>
      <c r="L364" s="39"/>
      <c r="M364" s="39"/>
      <c r="N364" s="39"/>
      <c r="O364" s="39"/>
      <c r="P364" s="39"/>
      <c r="Q364" s="39"/>
      <c r="R364" s="16"/>
      <c r="S364" s="16"/>
      <c r="T364" s="16"/>
      <c r="U364" s="16"/>
      <c r="V364" s="16"/>
      <c r="W364" s="16"/>
      <c r="X364" s="16"/>
      <c r="Y364" s="16"/>
      <c r="Z364" s="16"/>
      <c r="AA364" s="16"/>
      <c r="AB364" s="16"/>
    </row>
    <row r="365" spans="3:28" ht="12.75">
      <c r="C365" s="16"/>
      <c r="D365" s="16"/>
      <c r="E365" s="16"/>
      <c r="F365" s="16"/>
      <c r="G365" s="16"/>
      <c r="H365" s="39"/>
      <c r="I365" s="39"/>
      <c r="J365" s="39"/>
      <c r="K365" s="39"/>
      <c r="L365" s="39"/>
      <c r="M365" s="39"/>
      <c r="N365" s="39"/>
      <c r="O365" s="39"/>
      <c r="P365" s="39"/>
      <c r="Q365" s="39"/>
      <c r="R365" s="16"/>
      <c r="S365" s="16"/>
      <c r="T365" s="16"/>
      <c r="U365" s="16"/>
      <c r="V365" s="16"/>
      <c r="W365" s="16"/>
      <c r="X365" s="16"/>
      <c r="Y365" s="16"/>
      <c r="Z365" s="16"/>
      <c r="AA365" s="16"/>
      <c r="AB365" s="16"/>
    </row>
    <row r="366" spans="3:28" ht="12.75">
      <c r="C366" s="16"/>
      <c r="D366" s="16"/>
      <c r="E366" s="16"/>
      <c r="F366" s="16"/>
      <c r="G366" s="16"/>
      <c r="H366" s="39"/>
      <c r="I366" s="39"/>
      <c r="J366" s="39"/>
      <c r="K366" s="39"/>
      <c r="L366" s="39"/>
      <c r="M366" s="39"/>
      <c r="N366" s="39"/>
      <c r="O366" s="39"/>
      <c r="P366" s="39"/>
      <c r="Q366" s="39"/>
      <c r="R366" s="16"/>
      <c r="S366" s="16"/>
      <c r="T366" s="16"/>
      <c r="U366" s="16"/>
      <c r="V366" s="16"/>
      <c r="W366" s="16"/>
      <c r="X366" s="16"/>
      <c r="Y366" s="16"/>
      <c r="Z366" s="16"/>
      <c r="AA366" s="16"/>
      <c r="AB366" s="16"/>
    </row>
    <row r="367" spans="3:28" ht="12.75">
      <c r="C367" s="16"/>
      <c r="D367" s="16"/>
      <c r="E367" s="16"/>
      <c r="F367" s="16"/>
      <c r="G367" s="16"/>
      <c r="H367" s="39"/>
      <c r="I367" s="39"/>
      <c r="J367" s="39"/>
      <c r="K367" s="39"/>
      <c r="L367" s="39"/>
      <c r="M367" s="39"/>
      <c r="N367" s="39"/>
      <c r="O367" s="39"/>
      <c r="P367" s="39"/>
      <c r="Q367" s="39"/>
      <c r="R367" s="16"/>
      <c r="S367" s="16"/>
      <c r="T367" s="16"/>
      <c r="U367" s="16"/>
      <c r="V367" s="16"/>
      <c r="W367" s="16"/>
      <c r="X367" s="16"/>
      <c r="Y367" s="16"/>
      <c r="Z367" s="16"/>
      <c r="AA367" s="16"/>
      <c r="AB367" s="16"/>
    </row>
    <row r="368" spans="3:28" ht="12.75">
      <c r="C368" s="16"/>
      <c r="D368" s="16"/>
      <c r="E368" s="16"/>
      <c r="F368" s="16"/>
      <c r="G368" s="16"/>
      <c r="H368" s="39"/>
      <c r="I368" s="39"/>
      <c r="J368" s="39"/>
      <c r="K368" s="39"/>
      <c r="L368" s="39"/>
      <c r="M368" s="39"/>
      <c r="N368" s="39"/>
      <c r="O368" s="39"/>
      <c r="P368" s="39"/>
      <c r="Q368" s="39"/>
      <c r="R368" s="16"/>
      <c r="S368" s="16"/>
      <c r="T368" s="16"/>
      <c r="U368" s="16"/>
      <c r="V368" s="16"/>
      <c r="W368" s="16"/>
      <c r="X368" s="16"/>
      <c r="Y368" s="16"/>
      <c r="Z368" s="16"/>
      <c r="AA368" s="16"/>
      <c r="AB368" s="16"/>
    </row>
    <row r="369" spans="3:28" ht="12.75">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row>
    <row r="370" spans="3:28" ht="12.75">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row>
    <row r="371" spans="3:28" ht="12.75">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row>
    <row r="372" spans="3:28" ht="12.75">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row>
    <row r="373" spans="3:28" ht="12.75">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row>
    <row r="374" spans="3:28" ht="12.75">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row>
    <row r="375" spans="3:28" ht="12.75">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row>
    <row r="376" spans="3:28" ht="12.75">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row>
    <row r="377" spans="3:28" ht="12.75">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row>
    <row r="378" spans="3:28" ht="12.75">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row>
    <row r="379" spans="3:28" ht="12.75">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row>
    <row r="380" spans="3:28" ht="12.75">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row>
    <row r="381" spans="3:28" ht="12.75">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row>
    <row r="382" spans="3:28" ht="12.75">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row>
    <row r="383" spans="3:28" ht="12.75">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row>
    <row r="384" spans="3:28" ht="12.75">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row>
    <row r="385" spans="3:28" ht="12.75">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row>
    <row r="386" spans="3:28" ht="12.75">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row>
    <row r="387" spans="3:28" ht="12.75">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row>
    <row r="388" spans="3:28" ht="12.75">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row>
    <row r="389" spans="3:28" ht="12.75">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row>
    <row r="390" spans="3:28" ht="12.75">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row>
    <row r="391" spans="3:28" ht="12.75">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row>
    <row r="392" spans="3:28" ht="12.75">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row>
    <row r="393" spans="3:28" ht="12.75">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row>
    <row r="394" spans="3:28" ht="12.75">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row>
    <row r="395" spans="3:28" ht="12.75">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row>
    <row r="396" spans="3:28" ht="12.75">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row>
    <row r="397" spans="3:28" ht="12.75">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row>
    <row r="398" spans="3:28" ht="12.75">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row>
    <row r="399" spans="3:28" ht="12.75">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row>
    <row r="400" spans="3:28" ht="12.75">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row>
    <row r="401" spans="3:28" ht="12.75">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row>
    <row r="402" spans="3:28" ht="12.75">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row>
    <row r="403" spans="3:28" ht="12.75">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row>
    <row r="404" spans="3:28" ht="12.75">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row>
    <row r="405" spans="3:28" ht="12.75">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row>
    <row r="406" spans="3:28" ht="12.75">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row>
    <row r="407" spans="3:28" ht="12.75">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row>
    <row r="408" spans="3:28" ht="12.75">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row>
    <row r="409" spans="3:28" ht="12.75">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row>
    <row r="410" spans="3:28" ht="12.75">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row>
    <row r="411" spans="3:28" ht="12.75">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row>
    <row r="412" spans="3:28" ht="12.75">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row>
    <row r="413" spans="3:28" ht="12.75">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row>
    <row r="414" spans="3:28" ht="12.75">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row>
    <row r="415" spans="3:28" ht="12.75">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row>
    <row r="416" spans="3:28" ht="12.75">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row>
    <row r="417" spans="3:28" ht="12.75">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16"/>
    </row>
    <row r="418" spans="3:28" ht="12.75">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row>
    <row r="419" spans="3:28" ht="12.75">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row>
    <row r="420" spans="3:28" ht="12.75">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row>
    <row r="421" spans="3:28" ht="12.75">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row>
    <row r="422" spans="3:28" ht="12.75">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16"/>
    </row>
    <row r="423" spans="3:28" ht="12.75">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row>
    <row r="424" spans="3:28" ht="12.75">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row>
    <row r="425" spans="3:28" ht="12.75">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row>
    <row r="426" spans="3:28" ht="12.75">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row>
    <row r="427" spans="3:28" ht="12.75">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c r="AB427" s="16"/>
    </row>
    <row r="428" spans="3:28" ht="12.75">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c r="AB428" s="16"/>
    </row>
    <row r="429" spans="3:28" ht="12.75">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16"/>
    </row>
    <row r="430" spans="3:28" ht="12.75">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row>
    <row r="431" spans="3:28" ht="12.75">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row>
    <row r="432" spans="3:28" ht="12.75">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c r="AB432" s="16"/>
    </row>
    <row r="433" spans="3:28" ht="12.75">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row>
    <row r="434" spans="3:28" ht="12.75">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row>
    <row r="435" spans="3:28" ht="12.75">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c r="AB435" s="16"/>
    </row>
    <row r="436" spans="3:28" ht="12.75">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row>
    <row r="437" spans="3:28" ht="12.75">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c r="AB437" s="16"/>
    </row>
    <row r="438" spans="3:28" ht="12.75">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c r="AB438" s="16"/>
    </row>
    <row r="439" spans="3:28" ht="12.75">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c r="AB439" s="16"/>
    </row>
    <row r="440" spans="3:28" ht="12.75">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c r="AB440" s="16"/>
    </row>
    <row r="441" spans="3:28" ht="12.75">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c r="AB441" s="16"/>
    </row>
    <row r="442" spans="3:28" ht="12.75">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c r="AB442" s="16"/>
    </row>
    <row r="443" spans="3:28" ht="12.75">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c r="AB443" s="16"/>
    </row>
    <row r="444" spans="3:28" ht="12.75">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c r="AB444" s="16"/>
    </row>
    <row r="445" spans="3:28" ht="12.75">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c r="AB445" s="16"/>
    </row>
    <row r="446" spans="3:28" ht="12.75">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c r="AB446" s="16"/>
    </row>
    <row r="447" spans="3:28" ht="12.75">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c r="AB447" s="16"/>
    </row>
    <row r="448" spans="3:28" ht="12.75">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c r="AA448" s="16"/>
      <c r="AB448" s="16"/>
    </row>
    <row r="449" spans="3:28" ht="12.75">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c r="AA449" s="16"/>
      <c r="AB449" s="16"/>
    </row>
    <row r="450" spans="3:28" ht="12.75">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c r="AA450" s="16"/>
      <c r="AB450" s="16"/>
    </row>
    <row r="451" spans="3:28" ht="12.75">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c r="AA451" s="16"/>
      <c r="AB451" s="16"/>
    </row>
    <row r="452" spans="3:28" ht="12.75">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c r="AA452" s="16"/>
      <c r="AB452" s="16"/>
    </row>
    <row r="453" spans="3:28" ht="12.75">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c r="AB453" s="16"/>
    </row>
    <row r="454" spans="3:28" ht="12.75">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c r="AA454" s="16"/>
      <c r="AB454" s="16"/>
    </row>
    <row r="455" spans="3:28" ht="12.75">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c r="AA455" s="16"/>
      <c r="AB455" s="16"/>
    </row>
    <row r="456" spans="3:28" ht="12.75">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c r="AB456" s="16"/>
    </row>
    <row r="457" spans="3:28" ht="12.75">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16"/>
      <c r="AB457" s="16"/>
    </row>
    <row r="458" spans="3:28" ht="12.75">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c r="AA458" s="16"/>
      <c r="AB458" s="16"/>
    </row>
    <row r="459" spans="3:28" ht="12.75">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c r="AA459" s="16"/>
      <c r="AB459" s="16"/>
    </row>
    <row r="460" spans="3:28" ht="12.75">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c r="AA460" s="16"/>
      <c r="AB460" s="16"/>
    </row>
    <row r="461" spans="3:28" ht="12.75">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c r="AA461" s="16"/>
      <c r="AB461" s="16"/>
    </row>
    <row r="462" spans="3:28" ht="12.75">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c r="AA462" s="16"/>
      <c r="AB462" s="16"/>
    </row>
    <row r="463" spans="3:28" ht="12.75">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c r="AA463" s="16"/>
      <c r="AB463" s="16"/>
    </row>
    <row r="464" spans="3:28" ht="12.75">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c r="AA464" s="16"/>
      <c r="AB464" s="16"/>
    </row>
    <row r="465" spans="3:28" ht="12.75">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c r="AB465" s="16"/>
    </row>
    <row r="466" spans="3:28" ht="12.75">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row>
    <row r="467" spans="3:28" ht="12.75">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c r="AB467" s="16"/>
    </row>
    <row r="468" spans="3:28" ht="12.75">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c r="AA468" s="16"/>
      <c r="AB468" s="16"/>
    </row>
    <row r="469" spans="3:28" ht="12.75">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c r="AA469" s="16"/>
      <c r="AB469" s="16"/>
    </row>
    <row r="470" spans="3:28" ht="12.75">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c r="AA470" s="16"/>
      <c r="AB470" s="16"/>
    </row>
    <row r="471" spans="3:28" ht="12.75">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c r="AA471" s="16"/>
      <c r="AB471" s="16"/>
    </row>
    <row r="472" spans="3:28" ht="12.75">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c r="AA472" s="16"/>
      <c r="AB472" s="16"/>
    </row>
    <row r="473" spans="3:28" ht="12.75">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c r="AA473" s="16"/>
      <c r="AB473" s="16"/>
    </row>
    <row r="474" spans="3:28" ht="12.75">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c r="AA474" s="16"/>
      <c r="AB474" s="16"/>
    </row>
    <row r="475" spans="3:28" ht="12.75">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c r="AA475" s="16"/>
      <c r="AB475" s="16"/>
    </row>
    <row r="476" spans="3:28" ht="12.75">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c r="AB476" s="16"/>
    </row>
    <row r="477" spans="3:28" ht="12.75">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c r="AA477" s="16"/>
      <c r="AB477" s="16"/>
    </row>
    <row r="478" spans="3:28" ht="12.75">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c r="AA478" s="16"/>
      <c r="AB478" s="16"/>
    </row>
    <row r="479" spans="3:28" ht="12.75">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c r="AA479" s="16"/>
      <c r="AB479" s="16"/>
    </row>
    <row r="480" spans="3:28" ht="12.75">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c r="AA480" s="16"/>
      <c r="AB480" s="16"/>
    </row>
    <row r="481" spans="3:28" ht="12.75">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c r="AA481" s="16"/>
      <c r="AB481" s="16"/>
    </row>
    <row r="482" spans="3:28" ht="12.75">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c r="AA482" s="16"/>
      <c r="AB482" s="16"/>
    </row>
    <row r="483" spans="3:28" ht="12.75">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c r="AA483" s="16"/>
      <c r="AB483" s="16"/>
    </row>
    <row r="484" spans="3:28" ht="12.75">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c r="AA484" s="16"/>
      <c r="AB484" s="16"/>
    </row>
    <row r="485" spans="3:28" ht="12.75">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c r="AA485" s="16"/>
      <c r="AB485" s="16"/>
    </row>
    <row r="486" spans="3:28" ht="12.75">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c r="AA486" s="16"/>
      <c r="AB486" s="16"/>
    </row>
    <row r="487" spans="3:28" ht="12.75">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c r="AA487" s="16"/>
      <c r="AB487" s="16"/>
    </row>
    <row r="488" spans="3:28" ht="12.75">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c r="AA488" s="16"/>
      <c r="AB488" s="16"/>
    </row>
    <row r="489" spans="3:28" ht="12.75">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c r="AA489" s="16"/>
      <c r="AB489" s="16"/>
    </row>
    <row r="490" spans="3:28" ht="12.75">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c r="AA490" s="16"/>
      <c r="AB490" s="16"/>
    </row>
    <row r="491" spans="3:28" ht="12.75">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c r="AA491" s="16"/>
      <c r="AB491" s="16"/>
    </row>
    <row r="492" spans="3:28" ht="12.75">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c r="AA492" s="16"/>
      <c r="AB492" s="16"/>
    </row>
    <row r="493" spans="3:28" ht="12.75">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c r="AA493" s="16"/>
      <c r="AB493" s="16"/>
    </row>
    <row r="494" spans="3:28" ht="12.75">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c r="AA494" s="16"/>
      <c r="AB494" s="16"/>
    </row>
    <row r="495" spans="3:28" ht="12.75">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c r="AA495" s="16"/>
      <c r="AB495" s="16"/>
    </row>
    <row r="496" spans="3:28" ht="12.75">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c r="AB496" s="16"/>
    </row>
    <row r="497" spans="3:28" ht="12.75">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c r="AA497" s="16"/>
      <c r="AB497" s="16"/>
    </row>
    <row r="498" spans="3:28" ht="12.75">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c r="AA498" s="16"/>
      <c r="AB498" s="16"/>
    </row>
    <row r="499" spans="3:28" ht="12.75">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c r="AA499" s="16"/>
      <c r="AB499" s="16"/>
    </row>
    <row r="500" spans="3:28" ht="12.75">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c r="AA500" s="16"/>
      <c r="AB500" s="16"/>
    </row>
    <row r="501" spans="3:28" ht="12.75">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c r="AA501" s="16"/>
      <c r="AB501" s="16"/>
    </row>
    <row r="502" spans="3:28" ht="12.75">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c r="AA502" s="16"/>
      <c r="AB502" s="16"/>
    </row>
    <row r="503" spans="3:28" ht="12.75">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c r="AA503" s="16"/>
      <c r="AB503" s="16"/>
    </row>
    <row r="504" spans="3:28" ht="12.75">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c r="AA504" s="16"/>
      <c r="AB504" s="16"/>
    </row>
    <row r="505" spans="3:28" ht="12.75">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c r="AA505" s="16"/>
      <c r="AB505" s="16"/>
    </row>
    <row r="506" spans="3:28" ht="12.75">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c r="AA506" s="16"/>
      <c r="AB506" s="16"/>
    </row>
    <row r="507" spans="3:28" ht="12.75">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c r="AA507" s="16"/>
      <c r="AB507" s="16"/>
    </row>
    <row r="508" spans="3:28" ht="12.75">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c r="AA508" s="16"/>
      <c r="AB508" s="16"/>
    </row>
    <row r="509" spans="3:28" ht="12.75">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c r="AA509" s="16"/>
      <c r="AB509" s="16"/>
    </row>
    <row r="510" spans="3:28" ht="12.75">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c r="AA510" s="16"/>
      <c r="AB510" s="16"/>
    </row>
    <row r="511" spans="3:28" ht="12.75">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c r="AA511" s="16"/>
      <c r="AB511" s="16"/>
    </row>
    <row r="512" spans="3:28" ht="12.75">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c r="AA512" s="16"/>
      <c r="AB512" s="16"/>
    </row>
    <row r="513" spans="3:28" ht="12.75">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c r="AA513" s="16"/>
      <c r="AB513" s="16"/>
    </row>
    <row r="514" spans="3:28" ht="12.75">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c r="AA514" s="16"/>
      <c r="AB514" s="16"/>
    </row>
    <row r="515" spans="3:28" ht="12.75">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c r="AA515" s="16"/>
      <c r="AB515" s="16"/>
    </row>
    <row r="516" spans="3:28" ht="12.75">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c r="AA516" s="16"/>
      <c r="AB516" s="16"/>
    </row>
    <row r="517" spans="3:28" ht="12.75">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c r="AA517" s="16"/>
      <c r="AB517" s="16"/>
    </row>
    <row r="518" spans="3:28" ht="12.75">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c r="AA518" s="16"/>
      <c r="AB518" s="16"/>
    </row>
    <row r="519" spans="3:28" ht="12.75">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c r="AA519" s="16"/>
      <c r="AB519" s="16"/>
    </row>
    <row r="520" spans="3:28" ht="12.75">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c r="AA520" s="16"/>
      <c r="AB520" s="16"/>
    </row>
    <row r="521" spans="3:28" ht="12.75">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c r="AA521" s="16"/>
      <c r="AB521" s="16"/>
    </row>
    <row r="522" spans="3:28" ht="12.75">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c r="AA522" s="16"/>
      <c r="AB522" s="16"/>
    </row>
    <row r="523" spans="3:28" ht="12.75">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c r="AA523" s="16"/>
      <c r="AB523" s="16"/>
    </row>
    <row r="524" spans="3:28" ht="12.75">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c r="AA524" s="16"/>
      <c r="AB524" s="16"/>
    </row>
    <row r="525" spans="3:28" ht="12.75">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c r="AA525" s="16"/>
      <c r="AB525" s="16"/>
    </row>
    <row r="526" spans="3:28" ht="12.75">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c r="AA526" s="16"/>
      <c r="AB526" s="16"/>
    </row>
    <row r="527" spans="3:28" ht="12.75">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c r="AA527" s="16"/>
      <c r="AB527" s="16"/>
    </row>
    <row r="528" spans="3:28" ht="12.75">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c r="AA528" s="16"/>
      <c r="AB528" s="16"/>
    </row>
    <row r="529" spans="3:28" ht="12.75">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c r="AA529" s="16"/>
      <c r="AB529" s="16"/>
    </row>
    <row r="530" spans="3:28" ht="12.75">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c r="AA530" s="16"/>
      <c r="AB530" s="16"/>
    </row>
    <row r="531" spans="3:28" ht="12.75">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c r="AA531" s="16"/>
      <c r="AB531" s="16"/>
    </row>
    <row r="532" spans="3:28" ht="12.75">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c r="AA532" s="16"/>
      <c r="AB532" s="16"/>
    </row>
    <row r="533" spans="3:28" ht="12.75">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c r="AA533" s="16"/>
      <c r="AB533" s="16"/>
    </row>
    <row r="534" spans="3:28" ht="12.75">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c r="AA534" s="16"/>
      <c r="AB534" s="16"/>
    </row>
    <row r="535" spans="3:28" ht="12.75">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c r="AA535" s="16"/>
      <c r="AB535" s="16"/>
    </row>
    <row r="536" spans="3:28" ht="12.75">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c r="AA536" s="16"/>
      <c r="AB536" s="16"/>
    </row>
    <row r="537" spans="3:28" ht="12.75">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c r="AA537" s="16"/>
      <c r="AB537" s="16"/>
    </row>
    <row r="538" spans="3:28" ht="12.75">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c r="AA538" s="16"/>
      <c r="AB538" s="16"/>
    </row>
    <row r="539" spans="3:28" ht="12.75">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c r="AA539" s="16"/>
      <c r="AB539" s="16"/>
    </row>
    <row r="540" spans="3:28" ht="12.75">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c r="AA540" s="16"/>
      <c r="AB540" s="16"/>
    </row>
    <row r="541" spans="3:28" ht="12.75">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c r="AA541" s="16"/>
      <c r="AB541" s="16"/>
    </row>
    <row r="542" spans="3:28" ht="12.75">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c r="AA542" s="16"/>
      <c r="AB542" s="16"/>
    </row>
    <row r="543" spans="3:28" ht="12.75">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c r="AA543" s="16"/>
      <c r="AB543" s="16"/>
    </row>
    <row r="544" spans="3:28" ht="12.75">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c r="AA544" s="16"/>
      <c r="AB544" s="16"/>
    </row>
    <row r="545" spans="3:28" ht="12.75">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c r="AA545" s="16"/>
      <c r="AB545" s="16"/>
    </row>
    <row r="546" spans="3:28" ht="12.75">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c r="AA546" s="16"/>
      <c r="AB546" s="16"/>
    </row>
    <row r="547" spans="3:28" ht="12.75">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c r="AA547" s="16"/>
      <c r="AB547" s="16"/>
    </row>
    <row r="548" spans="3:28" ht="12.75">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c r="AA548" s="16"/>
      <c r="AB548" s="16"/>
    </row>
    <row r="549" spans="3:28" ht="12.75">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c r="AA549" s="16"/>
      <c r="AB549" s="16"/>
    </row>
    <row r="550" spans="3:28" ht="12.75">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c r="AA550" s="16"/>
      <c r="AB550" s="16"/>
    </row>
    <row r="551" spans="3:28" ht="12.75">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c r="AA551" s="16"/>
      <c r="AB551" s="16"/>
    </row>
    <row r="552" spans="3:28" ht="12.75">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c r="AA552" s="16"/>
      <c r="AB552" s="16"/>
    </row>
    <row r="553" spans="3:28" ht="12.75">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c r="AA553" s="16"/>
      <c r="AB553" s="16"/>
    </row>
    <row r="554" spans="3:28" ht="12.75">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c r="AA554" s="16"/>
      <c r="AB554" s="16"/>
    </row>
    <row r="555" spans="3:28" ht="12.75">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c r="AA555" s="16"/>
      <c r="AB555" s="16"/>
    </row>
    <row r="556" spans="3:28" ht="12.75">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c r="AA556" s="16"/>
      <c r="AB556" s="16"/>
    </row>
    <row r="557" spans="3:28" ht="12.75">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c r="AA557" s="16"/>
      <c r="AB557" s="16"/>
    </row>
    <row r="558" spans="3:28" ht="12.75">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c r="AA558" s="16"/>
      <c r="AB558" s="16"/>
    </row>
    <row r="559" spans="3:28" ht="12.75">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c r="AA559" s="16"/>
      <c r="AB559" s="16"/>
    </row>
    <row r="560" spans="3:28" ht="12.75">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c r="AA560" s="16"/>
      <c r="AB560" s="16"/>
    </row>
    <row r="561" spans="3:28" ht="12.75">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c r="AA561" s="16"/>
      <c r="AB561" s="16"/>
    </row>
    <row r="562" spans="3:28" ht="12.75">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c r="AA562" s="16"/>
      <c r="AB562" s="16"/>
    </row>
    <row r="563" spans="3:28" ht="12.75">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c r="AA563" s="16"/>
      <c r="AB563" s="16"/>
    </row>
    <row r="564" spans="3:28" ht="12.75">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c r="AA564" s="16"/>
      <c r="AB564" s="16"/>
    </row>
    <row r="565" spans="3:28" ht="12.75">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c r="AA565" s="16"/>
      <c r="AB565" s="16"/>
    </row>
    <row r="566" spans="3:28" ht="12.75">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c r="AA566" s="16"/>
      <c r="AB566" s="16"/>
    </row>
    <row r="567" spans="3:28" ht="12.75">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c r="AA567" s="16"/>
      <c r="AB567" s="16"/>
    </row>
    <row r="568" spans="3:28" ht="12.75">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c r="AA568" s="16"/>
      <c r="AB568" s="16"/>
    </row>
    <row r="569" spans="3:28" ht="12.75">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c r="AA569" s="16"/>
      <c r="AB569" s="16"/>
    </row>
    <row r="570" spans="3:28" ht="12.75">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c r="AA570" s="16"/>
      <c r="AB570" s="16"/>
    </row>
    <row r="571" spans="3:28" ht="12.75">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c r="AA571" s="16"/>
      <c r="AB571" s="16"/>
    </row>
    <row r="572" spans="3:28" ht="12.75">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c r="AA572" s="16"/>
      <c r="AB572" s="16"/>
    </row>
    <row r="573" spans="3:28" ht="12.75">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c r="AA573" s="16"/>
      <c r="AB573" s="16"/>
    </row>
    <row r="574" spans="3:28" ht="12.75">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c r="AA574" s="16"/>
      <c r="AB574" s="16"/>
    </row>
    <row r="575" spans="3:28" ht="12.75">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c r="AA575" s="16"/>
      <c r="AB575" s="16"/>
    </row>
    <row r="576" spans="3:28" ht="12.75">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c r="AA576" s="16"/>
      <c r="AB576" s="16"/>
    </row>
    <row r="577" spans="3:28" ht="12.75">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c r="AA577" s="16"/>
      <c r="AB577" s="16"/>
    </row>
    <row r="578" spans="3:28" ht="12.75">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c r="AA578" s="16"/>
      <c r="AB578" s="16"/>
    </row>
    <row r="579" spans="3:28" ht="12.75">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c r="AA579" s="16"/>
      <c r="AB579" s="16"/>
    </row>
    <row r="580" spans="3:28" ht="12.75">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c r="AA580" s="16"/>
      <c r="AB580" s="16"/>
    </row>
    <row r="581" spans="3:28" ht="12.75">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c r="AA581" s="16"/>
      <c r="AB581" s="16"/>
    </row>
    <row r="582" spans="3:28" ht="12.75">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c r="AA582" s="16"/>
      <c r="AB582" s="16"/>
    </row>
    <row r="583" spans="3:28" ht="12.75">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c r="AA583" s="16"/>
      <c r="AB583" s="16"/>
    </row>
    <row r="584" spans="3:28" ht="12.75">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c r="AA584" s="16"/>
      <c r="AB584" s="16"/>
    </row>
    <row r="585" spans="3:28" ht="12.75">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c r="AA585" s="16"/>
      <c r="AB585" s="16"/>
    </row>
    <row r="586" spans="3:28" ht="12.75">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c r="AA586" s="16"/>
      <c r="AB586" s="16"/>
    </row>
    <row r="587" spans="3:28" ht="12.75">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c r="AA587" s="16"/>
      <c r="AB587" s="16"/>
    </row>
    <row r="588" spans="3:28" ht="12.75">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c r="AA588" s="16"/>
      <c r="AB588" s="16"/>
    </row>
    <row r="589" spans="3:28" ht="12.75">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c r="AA589" s="16"/>
      <c r="AB589" s="16"/>
    </row>
    <row r="590" spans="3:28" ht="12.75">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c r="AA590" s="16"/>
      <c r="AB590" s="16"/>
    </row>
    <row r="591" spans="3:28" ht="12.75">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c r="AA591" s="16"/>
      <c r="AB591" s="16"/>
    </row>
    <row r="592" spans="3:28" ht="12.75">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c r="AA592" s="16"/>
      <c r="AB592" s="16"/>
    </row>
    <row r="593" spans="3:28" ht="12.75">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c r="AA593" s="16"/>
      <c r="AB593" s="16"/>
    </row>
    <row r="594" spans="3:28" ht="12.75">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c r="AA594" s="16"/>
      <c r="AB594" s="16"/>
    </row>
    <row r="595" spans="3:28" ht="12.75">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c r="AA595" s="16"/>
      <c r="AB595" s="16"/>
    </row>
    <row r="596" spans="3:28" ht="12.75">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c r="AA596" s="16"/>
      <c r="AB596" s="16"/>
    </row>
    <row r="597" spans="3:28" ht="12.75">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c r="AA597" s="16"/>
      <c r="AB597" s="16"/>
    </row>
    <row r="598" spans="3:28" ht="12.75">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c r="AA598" s="16"/>
      <c r="AB598" s="16"/>
    </row>
    <row r="599" spans="3:28" ht="12.75">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c r="AA599" s="16"/>
      <c r="AB599" s="16"/>
    </row>
    <row r="600" spans="3:28" ht="12.75">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c r="AA600" s="16"/>
      <c r="AB600" s="16"/>
    </row>
    <row r="601" spans="3:28" ht="12.75">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c r="AA601" s="16"/>
      <c r="AB601" s="16"/>
    </row>
    <row r="602" spans="3:28" ht="12.75">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c r="AA602" s="16"/>
      <c r="AB602" s="16"/>
    </row>
    <row r="603" spans="3:28" ht="12.75">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c r="AA603" s="16"/>
      <c r="AB603" s="16"/>
    </row>
    <row r="604" spans="3:28" ht="12.75">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c r="AA604" s="16"/>
      <c r="AB604" s="16"/>
    </row>
    <row r="605" spans="3:28" ht="12.75">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c r="AA605" s="16"/>
      <c r="AB605" s="16"/>
    </row>
    <row r="606" spans="3:28" ht="12.75">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c r="AA606" s="16"/>
      <c r="AB606" s="16"/>
    </row>
    <row r="607" spans="3:28" ht="12.75">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c r="AA607" s="16"/>
      <c r="AB607" s="16"/>
    </row>
    <row r="608" spans="3:28" ht="12.75">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c r="AA608" s="16"/>
      <c r="AB608" s="16"/>
    </row>
    <row r="609" spans="3:28" ht="12.75">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c r="AA609" s="16"/>
      <c r="AB609" s="16"/>
    </row>
    <row r="610" spans="3:28" ht="12.75">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c r="AA610" s="16"/>
      <c r="AB610" s="16"/>
    </row>
    <row r="611" spans="3:28" ht="12.75">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c r="AA611" s="16"/>
      <c r="AB611" s="16"/>
    </row>
    <row r="612" spans="3:28" ht="12.75">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c r="AA612" s="16"/>
      <c r="AB612" s="16"/>
    </row>
    <row r="613" spans="3:28" ht="12.75">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c r="AA613" s="16"/>
      <c r="AB613" s="16"/>
    </row>
    <row r="614" spans="3:28" ht="12.75">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c r="AA614" s="16"/>
      <c r="AB614" s="16"/>
    </row>
    <row r="615" spans="3:28" ht="12.75">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c r="AA615" s="16"/>
      <c r="AB615" s="16"/>
    </row>
    <row r="616" spans="3:28" ht="12.75">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c r="AA616" s="16"/>
      <c r="AB616" s="16"/>
    </row>
    <row r="617" spans="3:28" ht="12.75">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c r="AA617" s="16"/>
      <c r="AB617" s="16"/>
    </row>
    <row r="618" spans="3:28" ht="12.75">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c r="AA618" s="16"/>
      <c r="AB618" s="16"/>
    </row>
    <row r="619" spans="3:28" ht="12.75">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c r="AA619" s="16"/>
      <c r="AB619" s="16"/>
    </row>
    <row r="620" spans="3:28" ht="12.75">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c r="AA620" s="16"/>
      <c r="AB620" s="16"/>
    </row>
    <row r="621" spans="3:28" ht="12.75">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c r="AA621" s="16"/>
      <c r="AB621" s="16"/>
    </row>
    <row r="622" spans="3:28" ht="12.75">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c r="AA622" s="16"/>
      <c r="AB622" s="16"/>
    </row>
    <row r="623" spans="3:28" ht="12.75">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c r="AA623" s="16"/>
      <c r="AB623" s="16"/>
    </row>
    <row r="624" spans="3:28" ht="12.75">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c r="AA624" s="16"/>
      <c r="AB624" s="16"/>
    </row>
    <row r="625" spans="3:28" ht="12.75">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c r="AA625" s="16"/>
      <c r="AB625" s="16"/>
    </row>
    <row r="626" spans="3:28" ht="12.75">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c r="AA626" s="16"/>
      <c r="AB626" s="16"/>
    </row>
    <row r="627" spans="3:28" ht="12.75">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c r="AA627" s="16"/>
      <c r="AB627" s="16"/>
    </row>
    <row r="628" spans="3:28" ht="12.75">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c r="AA628" s="16"/>
      <c r="AB628" s="16"/>
    </row>
    <row r="629" spans="3:28" ht="12.75">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c r="AA629" s="16"/>
      <c r="AB629" s="16"/>
    </row>
    <row r="630" spans="3:28" ht="12.75">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c r="AA630" s="16"/>
      <c r="AB630" s="16"/>
    </row>
    <row r="631" spans="3:28" ht="12.75">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c r="AA631" s="16"/>
      <c r="AB631" s="16"/>
    </row>
    <row r="632" spans="3:28" ht="12.75">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c r="AA632" s="16"/>
      <c r="AB632" s="16"/>
    </row>
    <row r="633" spans="3:28" ht="12.75">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c r="AA633" s="16"/>
      <c r="AB633" s="16"/>
    </row>
    <row r="634" spans="3:28" ht="12.75">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c r="AA634" s="16"/>
      <c r="AB634" s="16"/>
    </row>
    <row r="635" spans="3:28" ht="12.75">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c r="AA635" s="16"/>
      <c r="AB635" s="16"/>
    </row>
    <row r="636" spans="3:28" ht="12.75">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c r="AA636" s="16"/>
      <c r="AB636" s="16"/>
    </row>
    <row r="637" spans="3:28" ht="12.75">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c r="AA637" s="16"/>
      <c r="AB637" s="16"/>
    </row>
    <row r="638" spans="3:28" ht="12.75">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c r="AA638" s="16"/>
      <c r="AB638" s="16"/>
    </row>
    <row r="639" spans="3:28" ht="12.75">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c r="AA639" s="16"/>
      <c r="AB639" s="16"/>
    </row>
    <row r="640" spans="3:28" ht="12.75">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c r="AA640" s="16"/>
      <c r="AB640" s="16"/>
    </row>
    <row r="641" spans="3:28" ht="12.75">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c r="AA641" s="16"/>
      <c r="AB641" s="16"/>
    </row>
    <row r="642" spans="3:28" ht="12.75">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c r="AA642" s="16"/>
      <c r="AB642" s="16"/>
    </row>
    <row r="643" spans="3:28" ht="12.75">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c r="AA643" s="16"/>
      <c r="AB643" s="16"/>
    </row>
    <row r="644" spans="3:28" ht="12.75">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c r="AA644" s="16"/>
      <c r="AB644" s="16"/>
    </row>
    <row r="645" spans="3:28" ht="12.75">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c r="AA645" s="16"/>
      <c r="AB645" s="16"/>
    </row>
    <row r="646" spans="3:28" ht="12.75">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c r="AA646" s="16"/>
      <c r="AB646" s="16"/>
    </row>
    <row r="647" spans="3:28" ht="12.75">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c r="AA647" s="16"/>
      <c r="AB647" s="16"/>
    </row>
    <row r="648" spans="3:28" ht="12.75">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c r="AA648" s="16"/>
      <c r="AB648" s="16"/>
    </row>
    <row r="649" spans="3:28" ht="12.75">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c r="AA649" s="16"/>
      <c r="AB649" s="16"/>
    </row>
    <row r="650" spans="3:28" ht="12.75">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c r="AA650" s="16"/>
      <c r="AB650" s="16"/>
    </row>
    <row r="651" spans="3:28" ht="12.75">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c r="AA651" s="16"/>
      <c r="AB651" s="16"/>
    </row>
    <row r="652" spans="3:28" ht="12.75">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c r="AA652" s="16"/>
      <c r="AB652" s="16"/>
    </row>
    <row r="653" spans="3:28" ht="12.75">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c r="AA653" s="16"/>
      <c r="AB653" s="16"/>
    </row>
    <row r="654" spans="3:28" ht="12.75">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c r="AA654" s="16"/>
      <c r="AB654" s="16"/>
    </row>
    <row r="655" spans="3:28" ht="12.75">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c r="AA655" s="16"/>
      <c r="AB655" s="16"/>
    </row>
    <row r="656" spans="3:28" ht="12.75">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c r="AA656" s="16"/>
      <c r="AB656" s="16"/>
    </row>
    <row r="657" spans="3:28" ht="12.75">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c r="AA657" s="16"/>
      <c r="AB657" s="16"/>
    </row>
    <row r="658" spans="3:28" ht="12.75">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c r="AA658" s="16"/>
      <c r="AB658" s="16"/>
    </row>
    <row r="659" spans="3:28" ht="12.75">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c r="AA659" s="16"/>
      <c r="AB659" s="16"/>
    </row>
    <row r="660" spans="3:28" ht="12.75">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c r="AA660" s="16"/>
      <c r="AB660" s="16"/>
    </row>
    <row r="661" spans="3:28" ht="12.75">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c r="AA661" s="16"/>
      <c r="AB661" s="16"/>
    </row>
    <row r="662" spans="3:28" ht="12.75">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c r="AA662" s="16"/>
      <c r="AB662" s="16"/>
    </row>
    <row r="663" spans="3:28" ht="12.75">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c r="AA663" s="16"/>
      <c r="AB663" s="16"/>
    </row>
    <row r="664" spans="3:28" ht="12.75">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c r="AA664" s="16"/>
      <c r="AB664" s="16"/>
    </row>
    <row r="665" spans="3:28" ht="12.75">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c r="AA665" s="16"/>
      <c r="AB665" s="16"/>
    </row>
    <row r="666" spans="3:28" ht="12.75">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c r="AA666" s="16"/>
      <c r="AB666" s="16"/>
    </row>
    <row r="667" spans="3:28" ht="12.75">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c r="AA667" s="16"/>
      <c r="AB667" s="16"/>
    </row>
    <row r="668" spans="3:28" ht="12.75">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c r="AA668" s="16"/>
      <c r="AB668" s="16"/>
    </row>
    <row r="669" spans="3:28" ht="12.75">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c r="AA669" s="16"/>
      <c r="AB669" s="16"/>
    </row>
    <row r="670" spans="3:28" ht="12.75">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c r="AA670" s="16"/>
      <c r="AB670" s="16"/>
    </row>
    <row r="671" spans="3:28" ht="12.75">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c r="AA671" s="16"/>
      <c r="AB671" s="16"/>
    </row>
    <row r="672" spans="3:28" ht="12.75">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c r="AA672" s="16"/>
      <c r="AB672" s="16"/>
    </row>
    <row r="673" spans="3:28" ht="12.75">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c r="AA673" s="16"/>
      <c r="AB673" s="16"/>
    </row>
    <row r="674" spans="3:28" ht="12.75">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c r="AA674" s="16"/>
      <c r="AB674" s="16"/>
    </row>
    <row r="675" spans="3:28" ht="12.75">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c r="AA675" s="16"/>
      <c r="AB675" s="16"/>
    </row>
    <row r="676" spans="3:28" ht="12.75">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c r="AA676" s="16"/>
      <c r="AB676" s="16"/>
    </row>
    <row r="677" spans="3:28" ht="12.75">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c r="AA677" s="16"/>
      <c r="AB677" s="16"/>
    </row>
    <row r="678" spans="3:28" ht="12.75">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c r="AA678" s="16"/>
      <c r="AB678" s="16"/>
    </row>
    <row r="679" spans="3:28" ht="12.75">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c r="AA679" s="16"/>
      <c r="AB679" s="16"/>
    </row>
    <row r="680" spans="3:28" ht="12.75">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c r="AA680" s="16"/>
      <c r="AB680" s="16"/>
    </row>
    <row r="681" spans="3:28" ht="12.75">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c r="AA681" s="16"/>
      <c r="AB681" s="16"/>
    </row>
    <row r="682" spans="3:28" ht="12.75">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c r="AA682" s="16"/>
      <c r="AB682" s="16"/>
    </row>
    <row r="683" spans="3:28" ht="12.75">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c r="AA683" s="16"/>
      <c r="AB683" s="16"/>
    </row>
    <row r="684" spans="3:28" ht="12.75">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c r="AA684" s="16"/>
      <c r="AB684" s="16"/>
    </row>
    <row r="685" spans="3:28" ht="12.75">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c r="AA685" s="16"/>
      <c r="AB685" s="16"/>
    </row>
    <row r="686" spans="3:28" ht="12.75">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c r="AA686" s="16"/>
      <c r="AB686" s="16"/>
    </row>
    <row r="687" spans="3:28" ht="12.75">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c r="AA687" s="16"/>
      <c r="AB687" s="16"/>
    </row>
    <row r="688" spans="3:28" ht="12.75">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c r="AA688" s="16"/>
      <c r="AB688" s="16"/>
    </row>
    <row r="689" spans="3:28" ht="12.75">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c r="AA689" s="16"/>
      <c r="AB689" s="16"/>
    </row>
    <row r="690" spans="3:28" ht="12.75">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c r="AA690" s="16"/>
      <c r="AB690" s="16"/>
    </row>
    <row r="691" spans="3:28" ht="12.75">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c r="AA691" s="16"/>
      <c r="AB691" s="16"/>
    </row>
    <row r="692" spans="3:28" ht="12.75">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c r="AA692" s="16"/>
      <c r="AB692" s="16"/>
    </row>
    <row r="693" spans="3:28" ht="12.75">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c r="AA693" s="16"/>
      <c r="AB693" s="16"/>
    </row>
    <row r="694" spans="3:28" ht="12.75">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c r="AA694" s="16"/>
      <c r="AB694" s="16"/>
    </row>
    <row r="695" spans="3:28" ht="12.75">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c r="AA695" s="16"/>
      <c r="AB695" s="16"/>
    </row>
    <row r="696" spans="3:28" ht="12.75">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c r="AA696" s="16"/>
      <c r="AB696" s="16"/>
    </row>
    <row r="697" spans="3:28" ht="12.75">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c r="AA697" s="16"/>
      <c r="AB697" s="16"/>
    </row>
    <row r="698" spans="3:28" ht="12.75">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c r="AA698" s="16"/>
      <c r="AB698" s="16"/>
    </row>
    <row r="699" spans="3:28" ht="12.75">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c r="AA699" s="16"/>
      <c r="AB699" s="16"/>
    </row>
    <row r="700" spans="3:28" ht="12.75">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c r="AA700" s="16"/>
      <c r="AB700" s="16"/>
    </row>
    <row r="701" spans="3:28" ht="12.75">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c r="AA701" s="16"/>
      <c r="AB701" s="16"/>
    </row>
    <row r="702" spans="3:28" ht="12.75">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c r="AA702" s="16"/>
      <c r="AB702" s="16"/>
    </row>
    <row r="703" spans="3:28" ht="12.75">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c r="AA703" s="16"/>
      <c r="AB703" s="16"/>
    </row>
    <row r="704" spans="3:28" ht="12.75">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c r="AA704" s="16"/>
      <c r="AB704" s="16"/>
    </row>
    <row r="705" spans="3:28" ht="12.75">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c r="AA705" s="16"/>
      <c r="AB705" s="16"/>
    </row>
    <row r="706" spans="3:28" ht="12.75">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c r="AA706" s="16"/>
      <c r="AB706" s="16"/>
    </row>
    <row r="707" spans="3:28" ht="12.75">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c r="AA707" s="16"/>
      <c r="AB707" s="16"/>
    </row>
    <row r="708" spans="3:28" ht="12.75">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c r="AA708" s="16"/>
      <c r="AB708" s="16"/>
    </row>
    <row r="709" spans="3:28" ht="12.75">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c r="AA709" s="16"/>
      <c r="AB709" s="16"/>
    </row>
    <row r="710" spans="3:28" ht="12.75">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c r="AA710" s="16"/>
      <c r="AB710" s="16"/>
    </row>
    <row r="711" spans="3:28" ht="12.75">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c r="AA711" s="16"/>
      <c r="AB711" s="16"/>
    </row>
    <row r="712" spans="3:28" ht="12.75">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c r="AA712" s="16"/>
      <c r="AB712" s="16"/>
    </row>
    <row r="713" spans="3:28" ht="12.75">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c r="AA713" s="16"/>
      <c r="AB713" s="16"/>
    </row>
    <row r="714" spans="3:28" ht="12.75">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c r="AA714" s="16"/>
      <c r="AB714" s="16"/>
    </row>
    <row r="715" spans="3:28" ht="12.75">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c r="AA715" s="16"/>
      <c r="AB715" s="16"/>
    </row>
    <row r="716" spans="3:28" ht="12.75">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c r="AA716" s="16"/>
      <c r="AB716" s="16"/>
    </row>
    <row r="717" spans="3:28" ht="12.75">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c r="AA717" s="16"/>
      <c r="AB717" s="16"/>
    </row>
    <row r="718" spans="3:28" ht="12.75">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c r="AA718" s="16"/>
      <c r="AB718" s="16"/>
    </row>
    <row r="719" spans="3:28" ht="12.75">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c r="AA719" s="16"/>
      <c r="AB719" s="16"/>
    </row>
    <row r="720" spans="3:28" ht="12.75">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c r="AA720" s="16"/>
      <c r="AB720" s="16"/>
    </row>
    <row r="721" spans="3:28" ht="12.75">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c r="AA721" s="16"/>
      <c r="AB721" s="16"/>
    </row>
    <row r="722" spans="3:28" ht="12.75">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c r="AA722" s="16"/>
      <c r="AB722" s="16"/>
    </row>
    <row r="723" spans="3:28" ht="12.75">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c r="AA723" s="16"/>
      <c r="AB723" s="16"/>
    </row>
    <row r="724" spans="3:28" ht="12.75">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c r="AA724" s="16"/>
      <c r="AB724" s="16"/>
    </row>
    <row r="725" spans="3:28" ht="12.75">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c r="AA725" s="16"/>
      <c r="AB725" s="16"/>
    </row>
    <row r="726" spans="3:28" ht="12.75">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c r="AA726" s="16"/>
      <c r="AB726" s="16"/>
    </row>
    <row r="727" spans="3:28" ht="12.75">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c r="AA727" s="16"/>
      <c r="AB727" s="16"/>
    </row>
    <row r="728" spans="3:28" ht="12.75">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c r="AA728" s="16"/>
      <c r="AB728" s="16"/>
    </row>
    <row r="729" spans="3:28" ht="12.75">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c r="AA729" s="16"/>
      <c r="AB729" s="16"/>
    </row>
    <row r="730" spans="3:28" ht="12.75">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c r="AA730" s="16"/>
      <c r="AB730" s="16"/>
    </row>
    <row r="731" spans="3:28" ht="12.75">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c r="AA731" s="16"/>
      <c r="AB731" s="16"/>
    </row>
    <row r="732" spans="3:28" ht="12.75">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c r="AA732" s="16"/>
      <c r="AB732" s="16"/>
    </row>
    <row r="733" spans="3:28" ht="12.75">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c r="AA733" s="16"/>
      <c r="AB733" s="16"/>
    </row>
    <row r="734" spans="3:28" ht="12.75">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c r="AA734" s="16"/>
      <c r="AB734" s="16"/>
    </row>
    <row r="735" spans="3:28" ht="12.75">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c r="AA735" s="16"/>
      <c r="AB735" s="16"/>
    </row>
    <row r="736" spans="3:28" ht="12.75">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c r="AA736" s="16"/>
      <c r="AB736" s="16"/>
    </row>
    <row r="737" spans="3:28" ht="12.75">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c r="AA737" s="16"/>
      <c r="AB737" s="16"/>
    </row>
    <row r="738" spans="3:28" ht="12.75">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c r="AA738" s="16"/>
      <c r="AB738" s="16"/>
    </row>
    <row r="739" spans="3:28" ht="12.75">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c r="AA739" s="16"/>
      <c r="AB739" s="16"/>
    </row>
    <row r="740" spans="3:28" ht="12.75">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c r="AA740" s="16"/>
      <c r="AB740" s="16"/>
    </row>
    <row r="741" spans="3:28" ht="12.75">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c r="AA741" s="16"/>
      <c r="AB741" s="16"/>
    </row>
    <row r="742" spans="3:28" ht="12.75">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c r="AA742" s="16"/>
      <c r="AB742" s="16"/>
    </row>
    <row r="743" spans="3:28" ht="12.75">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c r="AA743" s="16"/>
      <c r="AB743" s="16"/>
    </row>
    <row r="744" spans="3:28" ht="12.75">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c r="AA744" s="16"/>
      <c r="AB744" s="16"/>
    </row>
    <row r="745" spans="3:28" ht="12.75">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c r="AA745" s="16"/>
      <c r="AB745" s="16"/>
    </row>
    <row r="746" spans="3:28" ht="12.75">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c r="AA746" s="16"/>
      <c r="AB746" s="16"/>
    </row>
    <row r="747" spans="3:28" ht="12.75">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c r="AA747" s="16"/>
      <c r="AB747" s="16"/>
    </row>
    <row r="748" spans="3:28" ht="12.75">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c r="AA748" s="16"/>
      <c r="AB748" s="16"/>
    </row>
    <row r="749" spans="3:28" ht="12.75">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c r="AA749" s="16"/>
      <c r="AB749" s="16"/>
    </row>
    <row r="750" spans="3:28" ht="12.75">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c r="AA750" s="16"/>
      <c r="AB750" s="16"/>
    </row>
    <row r="751" spans="3:28" ht="12.75">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c r="AA751" s="16"/>
      <c r="AB751" s="16"/>
    </row>
    <row r="752" spans="3:28" ht="12.75">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c r="AA752" s="16"/>
      <c r="AB752" s="16"/>
    </row>
    <row r="753" spans="3:28" ht="12.75">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c r="AA753" s="16"/>
      <c r="AB753" s="16"/>
    </row>
    <row r="754" spans="3:28" ht="12.75">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c r="AA754" s="16"/>
      <c r="AB754" s="16"/>
    </row>
    <row r="755" spans="3:28" ht="12.75">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c r="AA755" s="16"/>
      <c r="AB755" s="16"/>
    </row>
    <row r="756" spans="3:28" ht="12.75">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c r="AA756" s="16"/>
      <c r="AB756" s="16"/>
    </row>
    <row r="757" spans="3:28" ht="12.75">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c r="AA757" s="16"/>
      <c r="AB757" s="16"/>
    </row>
    <row r="758" spans="3:28" ht="12.75">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c r="AA758" s="16"/>
      <c r="AB758" s="16"/>
    </row>
    <row r="759" spans="3:28" ht="12.75">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c r="AA759" s="16"/>
      <c r="AB759" s="16"/>
    </row>
    <row r="760" spans="3:28" ht="12.75">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c r="AA760" s="16"/>
      <c r="AB760" s="16"/>
    </row>
    <row r="761" spans="3:28" ht="12.75">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c r="AA761" s="16"/>
      <c r="AB761" s="16"/>
    </row>
    <row r="762" spans="3:28" ht="12.75">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c r="AA762" s="16"/>
      <c r="AB762" s="16"/>
    </row>
    <row r="763" spans="3:28" ht="12.75">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c r="AA763" s="16"/>
      <c r="AB763" s="16"/>
    </row>
    <row r="764" spans="3:28" ht="12.75">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c r="AA764" s="16"/>
      <c r="AB764" s="16"/>
    </row>
    <row r="765" spans="3:28" ht="12.75">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c r="AA765" s="16"/>
      <c r="AB765" s="16"/>
    </row>
    <row r="766" spans="3:28" ht="12.75">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c r="AA766" s="16"/>
      <c r="AB766" s="16"/>
    </row>
    <row r="767" spans="3:28" ht="12.75">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c r="AA767" s="16"/>
      <c r="AB767" s="16"/>
    </row>
    <row r="768" spans="3:28" ht="12.75">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c r="AA768" s="16"/>
      <c r="AB768" s="16"/>
    </row>
    <row r="769" spans="3:28" ht="12.75">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c r="AA769" s="16"/>
      <c r="AB769" s="16"/>
    </row>
    <row r="770" spans="3:28" ht="12.75">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c r="AA770" s="16"/>
      <c r="AB770" s="16"/>
    </row>
    <row r="771" spans="3:28" ht="12.75">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c r="AA771" s="16"/>
      <c r="AB771" s="16"/>
    </row>
    <row r="772" spans="3:28" ht="12.75">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c r="AA772" s="16"/>
      <c r="AB772" s="16"/>
    </row>
    <row r="773" spans="3:28" ht="12.75">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c r="AA773" s="16"/>
      <c r="AB773" s="16"/>
    </row>
    <row r="774" spans="3:28" ht="12.75">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c r="AA774" s="16"/>
      <c r="AB774" s="16"/>
    </row>
    <row r="775" spans="3:28" ht="12.75">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c r="AA775" s="16"/>
      <c r="AB775" s="16"/>
    </row>
    <row r="776" spans="3:28" ht="12.75">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c r="AA776" s="16"/>
      <c r="AB776" s="16"/>
    </row>
    <row r="777" spans="3:28" ht="12.75">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c r="AA777" s="16"/>
      <c r="AB777" s="16"/>
    </row>
    <row r="778" spans="3:28" ht="12.75">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c r="AA778" s="16"/>
      <c r="AB778" s="16"/>
    </row>
    <row r="779" spans="3:28" ht="12.75">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c r="AA779" s="16"/>
      <c r="AB779" s="16"/>
    </row>
    <row r="780" spans="3:28" ht="12.75">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c r="AA780" s="16"/>
      <c r="AB780" s="16"/>
    </row>
    <row r="781" spans="3:28" ht="12.75">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c r="AA781" s="16"/>
      <c r="AB781" s="16"/>
    </row>
    <row r="782" spans="3:28" ht="12.75">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c r="AA782" s="16"/>
      <c r="AB782" s="16"/>
    </row>
    <row r="783" spans="3:28" ht="12.75">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c r="AA783" s="16"/>
      <c r="AB783" s="16"/>
    </row>
    <row r="784" spans="3:28" ht="12.75">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c r="AA784" s="16"/>
      <c r="AB784" s="16"/>
    </row>
    <row r="785" spans="3:28" ht="12.75">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c r="AA785" s="16"/>
      <c r="AB785" s="16"/>
    </row>
    <row r="786" spans="3:28" ht="12.75">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c r="AA786" s="16"/>
      <c r="AB786" s="16"/>
    </row>
    <row r="787" spans="3:28" ht="12.75">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c r="AA787" s="16"/>
      <c r="AB787" s="16"/>
    </row>
    <row r="788" spans="3:28" ht="12.75">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c r="AA788" s="16"/>
      <c r="AB788" s="16"/>
    </row>
    <row r="789" spans="3:28" ht="12.75">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c r="AA789" s="16"/>
      <c r="AB789" s="16"/>
    </row>
    <row r="790" spans="3:28" ht="12.75">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c r="AA790" s="16"/>
      <c r="AB790" s="16"/>
    </row>
    <row r="791" spans="3:28" ht="12.75">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c r="AA791" s="16"/>
      <c r="AB791" s="16"/>
    </row>
    <row r="792" spans="3:28" ht="12.75">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c r="AA792" s="16"/>
      <c r="AB792" s="16"/>
    </row>
    <row r="793" spans="3:28" ht="12.75">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c r="AA793" s="16"/>
      <c r="AB793" s="16"/>
    </row>
    <row r="794" spans="3:28" ht="12.75">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c r="AA794" s="16"/>
      <c r="AB794" s="16"/>
    </row>
    <row r="795" spans="3:28" ht="12.75">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c r="AA795" s="16"/>
      <c r="AB795" s="16"/>
    </row>
    <row r="796" spans="3:28" ht="12.75">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c r="AA796" s="16"/>
      <c r="AB796" s="16"/>
    </row>
    <row r="797" spans="3:28" ht="12.75">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c r="AA797" s="16"/>
      <c r="AB797" s="16"/>
    </row>
    <row r="798" spans="3:28" ht="12.75">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c r="AA798" s="16"/>
      <c r="AB798" s="16"/>
    </row>
    <row r="799" spans="3:28" ht="12.75">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c r="AA799" s="16"/>
      <c r="AB799" s="16"/>
    </row>
    <row r="800" spans="3:28" ht="12.75">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c r="AA800" s="16"/>
      <c r="AB800" s="16"/>
    </row>
    <row r="801" spans="3:28" ht="12.75">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c r="AA801" s="16"/>
      <c r="AB801" s="16"/>
    </row>
    <row r="802" spans="3:28" ht="12.75">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c r="AA802" s="16"/>
      <c r="AB802" s="16"/>
    </row>
    <row r="803" spans="3:28" ht="12.75">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c r="AA803" s="16"/>
      <c r="AB803" s="16"/>
    </row>
    <row r="804" spans="3:28" ht="12.75">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c r="AA804" s="16"/>
      <c r="AB804" s="16"/>
    </row>
    <row r="805" spans="3:28" ht="12.75">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c r="AA805" s="16"/>
      <c r="AB805" s="16"/>
    </row>
    <row r="806" spans="3:28" ht="12.75">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c r="AA806" s="16"/>
      <c r="AB806" s="16"/>
    </row>
    <row r="807" spans="3:28" ht="12.75">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c r="AA807" s="16"/>
      <c r="AB807" s="16"/>
    </row>
    <row r="808" spans="3:28" ht="12.75">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c r="AA808" s="16"/>
      <c r="AB808" s="16"/>
    </row>
    <row r="809" spans="3:28" ht="12.75">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c r="AA809" s="16"/>
      <c r="AB809" s="16"/>
    </row>
    <row r="810" spans="3:28" ht="12.75">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c r="AA810" s="16"/>
      <c r="AB810" s="16"/>
    </row>
    <row r="811" spans="3:28" ht="12.75">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c r="AA811" s="16"/>
      <c r="AB811" s="16"/>
    </row>
    <row r="812" spans="3:28" ht="12.75">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c r="AA812" s="16"/>
      <c r="AB812" s="16"/>
    </row>
    <row r="813" spans="3:28" ht="12.75">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c r="AA813" s="16"/>
      <c r="AB813" s="16"/>
    </row>
    <row r="814" spans="3:28" ht="12.75">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c r="AA814" s="16"/>
      <c r="AB814" s="16"/>
    </row>
    <row r="815" spans="3:28" ht="12.75">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c r="AA815" s="16"/>
      <c r="AB815" s="16"/>
    </row>
    <row r="816" spans="3:28" ht="12.75">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c r="AA816" s="16"/>
      <c r="AB816" s="16"/>
    </row>
    <row r="817" spans="3:28" ht="12.75">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c r="AA817" s="16"/>
      <c r="AB817" s="16"/>
    </row>
    <row r="818" spans="3:28" ht="12.75">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c r="AA818" s="16"/>
      <c r="AB818" s="16"/>
    </row>
    <row r="819" spans="3:28" ht="12.75">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c r="AA819" s="16"/>
      <c r="AB819" s="16"/>
    </row>
    <row r="820" spans="3:28" ht="12.75">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c r="AA820" s="16"/>
      <c r="AB820" s="16"/>
    </row>
    <row r="821" spans="3:28" ht="12.75">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c r="AA821" s="16"/>
      <c r="AB821" s="16"/>
    </row>
    <row r="822" spans="3:28" ht="12.75">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c r="AA822" s="16"/>
      <c r="AB822" s="16"/>
    </row>
    <row r="823" spans="3:28" ht="12.75">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c r="AA823" s="16"/>
      <c r="AB823" s="16"/>
    </row>
    <row r="824" spans="3:28" ht="12.75">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c r="AA824" s="16"/>
      <c r="AB824" s="16"/>
    </row>
    <row r="825" spans="3:28" ht="12.75">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c r="AA825" s="16"/>
      <c r="AB825" s="16"/>
    </row>
    <row r="826" spans="3:28" ht="12.75">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c r="AA826" s="16"/>
      <c r="AB826" s="16"/>
    </row>
    <row r="827" spans="3:28" ht="12.75">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c r="AA827" s="16"/>
      <c r="AB827" s="16"/>
    </row>
    <row r="828" spans="3:28" ht="12.75">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c r="AA828" s="16"/>
      <c r="AB828" s="16"/>
    </row>
    <row r="829" spans="3:28" ht="12.75">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c r="AA829" s="16"/>
      <c r="AB829" s="16"/>
    </row>
    <row r="830" spans="3:28" ht="12.75">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c r="AA830" s="16"/>
      <c r="AB830" s="16"/>
    </row>
    <row r="831" spans="3:28" ht="12.75">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c r="AA831" s="16"/>
      <c r="AB831" s="16"/>
    </row>
    <row r="832" spans="3:28" ht="12.75">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c r="AA832" s="16"/>
      <c r="AB832" s="16"/>
    </row>
    <row r="833" spans="3:28" ht="12.75">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c r="AA833" s="16"/>
      <c r="AB833" s="16"/>
    </row>
    <row r="834" spans="3:28" ht="12.75">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c r="AA834" s="16"/>
      <c r="AB834" s="16"/>
    </row>
    <row r="835" spans="3:28" ht="12.75">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c r="AA835" s="16"/>
      <c r="AB835" s="16"/>
    </row>
    <row r="836" spans="3:28" ht="12.75">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c r="AA836" s="16"/>
      <c r="AB836" s="16"/>
    </row>
    <row r="837" spans="3:28" ht="12.75">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c r="AA837" s="16"/>
      <c r="AB837" s="16"/>
    </row>
    <row r="838" spans="3:28" ht="12.75">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c r="AA838" s="16"/>
      <c r="AB838" s="16"/>
    </row>
    <row r="839" spans="3:28" ht="12.75">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c r="AA839" s="16"/>
      <c r="AB839" s="16"/>
    </row>
    <row r="840" spans="3:28" ht="12.75">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c r="AA840" s="16"/>
      <c r="AB840" s="16"/>
    </row>
    <row r="841" spans="3:28" ht="12.75">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c r="AA841" s="16"/>
      <c r="AB841" s="16"/>
    </row>
    <row r="842" spans="3:28" ht="12.75">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c r="AA842" s="16"/>
      <c r="AB842" s="16"/>
    </row>
    <row r="843" spans="3:28" ht="12.75">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c r="AA843" s="16"/>
      <c r="AB843" s="16"/>
    </row>
    <row r="844" spans="3:28" ht="12.75">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c r="AA844" s="16"/>
      <c r="AB844" s="16"/>
    </row>
    <row r="845" spans="3:28" ht="12.75">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c r="AA845" s="16"/>
      <c r="AB845" s="16"/>
    </row>
    <row r="846" spans="3:28" ht="12.75">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c r="AA846" s="16"/>
      <c r="AB846" s="16"/>
    </row>
    <row r="847" spans="3:28" ht="12.75">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c r="AA847" s="16"/>
      <c r="AB847" s="16"/>
    </row>
    <row r="848" spans="3:28" ht="12.75">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c r="AA848" s="16"/>
      <c r="AB848" s="16"/>
    </row>
    <row r="849" spans="3:28" ht="12.75">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c r="AA849" s="16"/>
      <c r="AB849" s="16"/>
    </row>
    <row r="850" spans="3:28" ht="12.75">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c r="AA850" s="16"/>
      <c r="AB850" s="16"/>
    </row>
    <row r="851" spans="3:28" ht="12.75">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c r="AA851" s="16"/>
      <c r="AB851" s="16"/>
    </row>
    <row r="852" spans="3:28" ht="12.75">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c r="AA852" s="16"/>
      <c r="AB852" s="16"/>
    </row>
    <row r="853" spans="3:28" ht="12.75">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c r="AA853" s="16"/>
      <c r="AB853" s="16"/>
    </row>
    <row r="854" spans="3:28" ht="12.75">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c r="AA854" s="16"/>
      <c r="AB854" s="16"/>
    </row>
    <row r="855" spans="3:28" ht="12.75">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c r="AA855" s="16"/>
      <c r="AB855" s="16"/>
    </row>
    <row r="856" spans="3:28" ht="12.75">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c r="AA856" s="16"/>
      <c r="AB856" s="16"/>
    </row>
    <row r="857" spans="3:28" ht="12.75">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c r="AA857" s="16"/>
      <c r="AB857" s="16"/>
    </row>
    <row r="858" spans="3:28" ht="12.75">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c r="AA858" s="16"/>
      <c r="AB858" s="16"/>
    </row>
    <row r="859" spans="3:28" ht="12.75">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c r="AA859" s="16"/>
      <c r="AB859" s="16"/>
    </row>
    <row r="860" spans="3:28" ht="12.75">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c r="AA860" s="16"/>
      <c r="AB860" s="16"/>
    </row>
    <row r="861" spans="3:28" ht="12.75">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c r="AA861" s="16"/>
      <c r="AB861" s="16"/>
    </row>
    <row r="862" spans="3:28" ht="12.75">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c r="AA862" s="16"/>
      <c r="AB862" s="16"/>
    </row>
    <row r="863" spans="3:28" ht="12.75">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c r="AA863" s="16"/>
      <c r="AB863" s="16"/>
    </row>
    <row r="864" spans="3:28" ht="12.75">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c r="AA864" s="16"/>
      <c r="AB864" s="16"/>
    </row>
    <row r="865" spans="3:28" ht="12.75">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c r="AA865" s="16"/>
      <c r="AB865" s="16"/>
    </row>
    <row r="866" spans="3:28" ht="12.75">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c r="AA866" s="16"/>
      <c r="AB866" s="16"/>
    </row>
    <row r="867" spans="3:28" ht="12.75">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c r="AA867" s="16"/>
      <c r="AB867" s="16"/>
    </row>
    <row r="868" spans="3:28" ht="12.75">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c r="AA868" s="16"/>
      <c r="AB868" s="16"/>
    </row>
    <row r="869" spans="3:28" ht="12.75">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c r="AA869" s="16"/>
      <c r="AB869" s="16"/>
    </row>
    <row r="870" spans="3:28" ht="12.75">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c r="AA870" s="16"/>
      <c r="AB870" s="16"/>
    </row>
    <row r="871" spans="3:28" ht="12.75">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c r="AA871" s="16"/>
      <c r="AB871" s="16"/>
    </row>
    <row r="872" spans="3:28" ht="12.75">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c r="AA872" s="16"/>
      <c r="AB872" s="16"/>
    </row>
    <row r="873" spans="3:28" ht="12.75">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c r="AA873" s="16"/>
      <c r="AB873" s="16"/>
    </row>
    <row r="874" spans="3:28" ht="12.75">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c r="AA874" s="16"/>
      <c r="AB874" s="16"/>
    </row>
    <row r="875" spans="3:28" ht="12.75">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c r="AA875" s="16"/>
      <c r="AB875" s="16"/>
    </row>
    <row r="876" spans="3:28" ht="12.75">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c r="AA876" s="16"/>
      <c r="AB876" s="16"/>
    </row>
    <row r="877" spans="3:28" ht="12.75">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c r="AA877" s="16"/>
      <c r="AB877" s="16"/>
    </row>
    <row r="878" spans="3:28" ht="12.75">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c r="AA878" s="16"/>
      <c r="AB878" s="16"/>
    </row>
    <row r="879" spans="3:28" ht="12.75">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c r="AA879" s="16"/>
      <c r="AB879" s="16"/>
    </row>
    <row r="880" spans="3:28" ht="12.75">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c r="AA880" s="16"/>
      <c r="AB880" s="16"/>
    </row>
    <row r="881" spans="3:28" ht="12.75">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c r="AA881" s="16"/>
      <c r="AB881" s="16"/>
    </row>
    <row r="882" spans="3:28" ht="12.75">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c r="AA882" s="16"/>
      <c r="AB882" s="16"/>
    </row>
    <row r="883" spans="3:28" ht="12.75">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c r="AA883" s="16"/>
      <c r="AB883" s="16"/>
    </row>
    <row r="884" spans="3:28" ht="12.75">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c r="AA884" s="16"/>
      <c r="AB884" s="16"/>
    </row>
    <row r="885" spans="3:28" ht="12.75">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c r="AA885" s="16"/>
      <c r="AB885" s="16"/>
    </row>
    <row r="886" spans="3:28" ht="12.75">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c r="AA886" s="16"/>
      <c r="AB886" s="16"/>
    </row>
    <row r="887" spans="3:28" ht="12.75">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c r="AA887" s="16"/>
      <c r="AB887" s="16"/>
    </row>
    <row r="888" spans="3:28" ht="12.75">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c r="AA888" s="16"/>
      <c r="AB888" s="16"/>
    </row>
    <row r="889" spans="3:28" ht="12.75">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c r="AA889" s="16"/>
      <c r="AB889" s="16"/>
    </row>
    <row r="890" spans="3:28" ht="12.75">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c r="AA890" s="16"/>
      <c r="AB890" s="16"/>
    </row>
    <row r="891" spans="3:28" ht="12.75">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c r="AA891" s="16"/>
      <c r="AB891" s="16"/>
    </row>
    <row r="892" spans="3:28" ht="12.75">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c r="AA892" s="16"/>
      <c r="AB892" s="16"/>
    </row>
    <row r="893" spans="3:28" ht="12.75">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c r="AA893" s="16"/>
      <c r="AB893" s="16"/>
    </row>
    <row r="894" spans="3:28" ht="12.75">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c r="AA894" s="16"/>
      <c r="AB894" s="16"/>
    </row>
    <row r="895" spans="3:28" ht="12.75">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c r="AA895" s="16"/>
      <c r="AB895" s="16"/>
    </row>
    <row r="896" spans="3:28" ht="12.75">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c r="AA896" s="16"/>
      <c r="AB896" s="16"/>
    </row>
    <row r="897" spans="3:28" ht="12.75">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c r="AA897" s="16"/>
      <c r="AB897" s="16"/>
    </row>
    <row r="898" spans="3:28" ht="12.75">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c r="AA898" s="16"/>
      <c r="AB898" s="16"/>
    </row>
    <row r="899" spans="3:28" ht="12.75">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c r="AA899" s="16"/>
      <c r="AB899" s="16"/>
    </row>
    <row r="900" spans="3:28" ht="12.75">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c r="AA900" s="16"/>
      <c r="AB900" s="16"/>
    </row>
    <row r="901" spans="3:28" ht="12.75">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c r="AA901" s="16"/>
      <c r="AB901" s="16"/>
    </row>
    <row r="902" spans="3:28" ht="12.75">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c r="AA902" s="16"/>
      <c r="AB902" s="16"/>
    </row>
    <row r="903" spans="3:28" ht="12.75">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c r="AA903" s="16"/>
      <c r="AB903" s="16"/>
    </row>
    <row r="904" spans="3:28" ht="12.75">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c r="AA904" s="16"/>
      <c r="AB904" s="16"/>
    </row>
    <row r="905" spans="3:28" ht="12.75">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c r="AA905" s="16"/>
      <c r="AB905" s="16"/>
    </row>
    <row r="906" spans="3:28" ht="12.75">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c r="AA906" s="16"/>
      <c r="AB906" s="16"/>
    </row>
    <row r="907" spans="3:28" ht="12.75">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c r="AA907" s="16"/>
      <c r="AB907" s="16"/>
    </row>
    <row r="908" spans="3:28" ht="12.75">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c r="AA908" s="16"/>
      <c r="AB908" s="16"/>
    </row>
    <row r="909" spans="3:28" ht="12.75">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c r="AA909" s="16"/>
      <c r="AB909" s="16"/>
    </row>
    <row r="910" spans="3:28" ht="12.75">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c r="AA910" s="16"/>
      <c r="AB910" s="16"/>
    </row>
    <row r="911" spans="3:28" ht="12.75">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c r="AA911" s="16"/>
      <c r="AB911" s="16"/>
    </row>
    <row r="912" spans="3:28" ht="12.75">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c r="AA912" s="16"/>
      <c r="AB912" s="16"/>
    </row>
    <row r="913" spans="3:28" ht="12.75">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c r="AA913" s="16"/>
      <c r="AB913" s="16"/>
    </row>
    <row r="914" spans="3:28" ht="12.75">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c r="AA914" s="16"/>
      <c r="AB914" s="16"/>
    </row>
    <row r="915" spans="3:28" ht="12.75">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c r="AA915" s="16"/>
      <c r="AB915" s="16"/>
    </row>
    <row r="916" spans="3:28" ht="12.75">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c r="AA916" s="16"/>
      <c r="AB916" s="16"/>
    </row>
    <row r="917" spans="3:28" ht="12.75">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c r="AA917" s="16"/>
      <c r="AB917" s="16"/>
    </row>
    <row r="918" spans="3:28" ht="12.75">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c r="AA918" s="16"/>
      <c r="AB918" s="16"/>
    </row>
    <row r="919" spans="3:28" ht="12.75">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c r="AA919" s="16"/>
      <c r="AB919" s="16"/>
    </row>
    <row r="920" spans="3:28" ht="12.75">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c r="AA920" s="16"/>
      <c r="AB920" s="16"/>
    </row>
    <row r="921" spans="3:28" ht="12.75">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c r="AA921" s="16"/>
      <c r="AB921" s="16"/>
    </row>
    <row r="922" spans="3:28" ht="12.75">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c r="AA922" s="16"/>
      <c r="AB922" s="16"/>
    </row>
    <row r="923" spans="3:28" ht="12.75">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c r="AA923" s="16"/>
      <c r="AB923" s="16"/>
    </row>
    <row r="924" spans="3:28" ht="12.75">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c r="AA924" s="16"/>
      <c r="AB924" s="16"/>
    </row>
    <row r="925" spans="3:28" ht="12.75">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c r="AA925" s="16"/>
      <c r="AB925" s="16"/>
    </row>
    <row r="926" spans="3:28" ht="12.75">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c r="AA926" s="16"/>
      <c r="AB926" s="16"/>
    </row>
    <row r="927" spans="3:28" ht="12.75">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c r="AA927" s="16"/>
      <c r="AB927" s="16"/>
    </row>
    <row r="928" spans="3:28" ht="12.75">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c r="AA928" s="16"/>
      <c r="AB928" s="16"/>
    </row>
    <row r="929" spans="3:28" ht="12.75">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c r="AA929" s="16"/>
      <c r="AB929" s="16"/>
    </row>
    <row r="930" spans="3:28" ht="12.75">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c r="AA930" s="16"/>
      <c r="AB930" s="16"/>
    </row>
    <row r="931" spans="3:28" ht="12.75">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c r="AA931" s="16"/>
      <c r="AB931" s="16"/>
    </row>
    <row r="932" spans="3:28" ht="12.75">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c r="AA932" s="16"/>
      <c r="AB932" s="16"/>
    </row>
    <row r="933" spans="3:28" ht="12.75">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c r="AA933" s="16"/>
      <c r="AB933" s="16"/>
    </row>
    <row r="934" spans="3:28" ht="12.75">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c r="AA934" s="16"/>
      <c r="AB934" s="16"/>
    </row>
    <row r="935" spans="3:28" ht="12.75">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c r="AA935" s="16"/>
      <c r="AB935" s="16"/>
    </row>
    <row r="936" spans="3:28" ht="12.75">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c r="AA936" s="16"/>
      <c r="AB936" s="16"/>
    </row>
    <row r="937" spans="3:28" ht="12.75">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c r="AA937" s="16"/>
      <c r="AB937" s="16"/>
    </row>
    <row r="938" spans="3:28" ht="12.75">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c r="AA938" s="16"/>
      <c r="AB938" s="16"/>
    </row>
    <row r="939" spans="3:28" ht="12.75">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c r="AA939" s="16"/>
      <c r="AB939" s="16"/>
    </row>
    <row r="940" spans="3:28" ht="12.75">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c r="AA940" s="16"/>
      <c r="AB940" s="16"/>
    </row>
    <row r="941" spans="3:28" ht="12.75">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c r="AA941" s="16"/>
      <c r="AB941" s="16"/>
    </row>
    <row r="942" spans="3:28" ht="12.75">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c r="AA942" s="16"/>
      <c r="AB942" s="16"/>
    </row>
    <row r="943" spans="3:28" ht="12.75">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c r="AA943" s="16"/>
      <c r="AB943" s="16"/>
    </row>
    <row r="944" spans="3:28" ht="12.75">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c r="AA944" s="16"/>
      <c r="AB944" s="16"/>
    </row>
    <row r="945" spans="3:28" ht="12.75">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c r="AA945" s="16"/>
      <c r="AB945" s="16"/>
    </row>
    <row r="946" spans="3:28" ht="12.75">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c r="AA946" s="16"/>
      <c r="AB946" s="16"/>
    </row>
    <row r="947" spans="3:28" ht="12.75">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c r="AA947" s="16"/>
      <c r="AB947" s="16"/>
    </row>
    <row r="948" spans="3:28" ht="12.75">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c r="AA948" s="16"/>
      <c r="AB948" s="16"/>
    </row>
    <row r="949" spans="3:28" ht="12.75">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c r="AA949" s="16"/>
      <c r="AB949" s="16"/>
    </row>
    <row r="950" spans="3:28" ht="12.75">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c r="AA950" s="16"/>
      <c r="AB950" s="16"/>
    </row>
    <row r="951" spans="3:28" ht="12.75">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c r="AA951" s="16"/>
      <c r="AB951" s="16"/>
    </row>
    <row r="952" spans="3:28" ht="12.75">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c r="AA952" s="16"/>
      <c r="AB952" s="16"/>
    </row>
    <row r="953" spans="3:28" ht="12.75">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c r="AA953" s="16"/>
      <c r="AB953" s="16"/>
    </row>
    <row r="954" spans="3:28" ht="12.75">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c r="AA954" s="16"/>
      <c r="AB954" s="16"/>
    </row>
    <row r="955" spans="3:28" ht="12.75">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c r="AA955" s="16"/>
      <c r="AB955" s="16"/>
    </row>
    <row r="956" spans="3:28" ht="12.75">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c r="AA956" s="16"/>
      <c r="AB956" s="16"/>
    </row>
    <row r="957" spans="3:28" ht="12.75">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c r="AA957" s="16"/>
      <c r="AB957" s="16"/>
    </row>
    <row r="958" spans="3:28" ht="12.75">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c r="AA958" s="16"/>
      <c r="AB958" s="16"/>
    </row>
    <row r="959" spans="3:28" ht="12.75">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c r="AA959" s="16"/>
      <c r="AB959" s="16"/>
    </row>
    <row r="960" spans="3:28" ht="12.75">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c r="AA960" s="16"/>
      <c r="AB960" s="16"/>
    </row>
    <row r="961" spans="3:28" ht="12.75">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c r="AA961" s="16"/>
      <c r="AB961" s="16"/>
    </row>
    <row r="962" spans="3:28" ht="12.75">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c r="AA962" s="16"/>
      <c r="AB962" s="16"/>
    </row>
    <row r="963" spans="3:28" ht="12.75">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c r="AA963" s="16"/>
      <c r="AB963" s="16"/>
    </row>
    <row r="964" spans="3:28" ht="12.75">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c r="AA964" s="16"/>
      <c r="AB964" s="16"/>
    </row>
    <row r="965" spans="3:28" ht="12.75">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c r="AA965" s="16"/>
      <c r="AB965" s="16"/>
    </row>
    <row r="966" spans="3:28" ht="12.75">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c r="AA966" s="16"/>
      <c r="AB966" s="16"/>
    </row>
    <row r="967" spans="3:28" ht="12.75">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c r="AA967" s="16"/>
      <c r="AB967" s="16"/>
    </row>
    <row r="968" spans="3:28" ht="12.75">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c r="AA968" s="16"/>
      <c r="AB968" s="16"/>
    </row>
    <row r="969" spans="3:28" ht="12.75">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c r="AA969" s="16"/>
      <c r="AB969" s="16"/>
    </row>
    <row r="970" spans="3:28" ht="12.75">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c r="AA970" s="16"/>
      <c r="AB970" s="16"/>
    </row>
    <row r="971" spans="3:28" ht="12.75">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c r="AA971" s="16"/>
      <c r="AB971" s="16"/>
    </row>
    <row r="972" spans="3:28" ht="12.75">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c r="AA972" s="16"/>
      <c r="AB972" s="16"/>
    </row>
    <row r="973" spans="3:28" ht="12.75">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c r="AA973" s="16"/>
      <c r="AB973" s="16"/>
    </row>
    <row r="974" spans="3:28" ht="12.75">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c r="AA974" s="16"/>
      <c r="AB974" s="16"/>
    </row>
    <row r="975" spans="3:28" ht="12.75">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c r="AA975" s="16"/>
      <c r="AB975" s="16"/>
    </row>
    <row r="976" spans="3:28" ht="12.75">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c r="AA976" s="16"/>
      <c r="AB976" s="16"/>
    </row>
    <row r="977" spans="3:28" ht="12.75">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c r="AA977" s="16"/>
      <c r="AB977" s="16"/>
    </row>
    <row r="978" spans="3:28" ht="12.75">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c r="AA978" s="16"/>
      <c r="AB978" s="16"/>
    </row>
    <row r="979" spans="3:28" ht="12.75">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c r="AA979" s="16"/>
      <c r="AB979" s="16"/>
    </row>
    <row r="980" spans="3:28" ht="12.75">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c r="AA980" s="16"/>
      <c r="AB980" s="16"/>
    </row>
    <row r="981" spans="3:28" ht="12.75">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c r="AA981" s="16"/>
      <c r="AB981" s="16"/>
    </row>
    <row r="982" spans="3:28" ht="12.75">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c r="AA982" s="16"/>
      <c r="AB982" s="16"/>
    </row>
    <row r="983" spans="3:28" ht="12.75">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c r="AA983" s="16"/>
      <c r="AB983" s="16"/>
    </row>
    <row r="984" spans="3:28" ht="12.75">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c r="AA984" s="16"/>
      <c r="AB984" s="16"/>
    </row>
    <row r="985" spans="3:28" ht="12.75">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c r="AA985" s="16"/>
      <c r="AB985" s="16"/>
    </row>
    <row r="986" spans="3:28" ht="12.75">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c r="AA986" s="16"/>
      <c r="AB986" s="16"/>
    </row>
    <row r="987" spans="3:28" ht="12.75">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c r="AA987" s="16"/>
      <c r="AB987" s="16"/>
    </row>
    <row r="988" spans="3:28" ht="12.75">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c r="AA988" s="16"/>
      <c r="AB988" s="16"/>
    </row>
    <row r="989" spans="3:28" ht="12.75">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c r="AA989" s="16"/>
      <c r="AB989" s="16"/>
    </row>
    <row r="990" spans="3:28" ht="12.75">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c r="AA990" s="16"/>
      <c r="AB990" s="16"/>
    </row>
    <row r="991" spans="3:28" ht="12.75">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c r="AA991" s="16"/>
      <c r="AB991" s="16"/>
    </row>
    <row r="992" spans="3:28" ht="12.75">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c r="AA992" s="16"/>
      <c r="AB992" s="16"/>
    </row>
    <row r="993" spans="3:28" ht="12.75">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c r="AA993" s="16"/>
      <c r="AB993" s="16"/>
    </row>
    <row r="994" spans="3:28" ht="12.75">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c r="AA994" s="16"/>
      <c r="AB994" s="16"/>
    </row>
    <row r="995" spans="3:28" ht="12.75">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c r="AA995" s="16"/>
      <c r="AB995" s="16"/>
    </row>
    <row r="996" spans="3:28" ht="12.75">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c r="AA996" s="16"/>
      <c r="AB996" s="16"/>
    </row>
    <row r="997" spans="3:28" ht="12.75">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c r="AA997" s="16"/>
      <c r="AB997" s="16"/>
    </row>
    <row r="998" spans="3:28" ht="12.75">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c r="AA998" s="16"/>
      <c r="AB998" s="16"/>
    </row>
    <row r="999" spans="3:28" ht="12.75">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c r="AA999" s="16"/>
      <c r="AB999" s="16"/>
    </row>
    <row r="1000" spans="3:28" ht="12.75">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c r="AA1000" s="16"/>
      <c r="AB1000" s="16"/>
    </row>
    <row r="1001" spans="3:28" ht="12.75">
      <c r="C1001" s="16"/>
      <c r="D1001" s="16"/>
      <c r="E1001" s="16"/>
      <c r="F1001" s="16"/>
      <c r="G1001" s="16"/>
      <c r="H1001" s="16"/>
      <c r="I1001" s="16"/>
      <c r="J1001" s="16"/>
      <c r="K1001" s="16"/>
      <c r="L1001" s="16"/>
      <c r="M1001" s="16"/>
      <c r="N1001" s="16"/>
      <c r="O1001" s="16"/>
      <c r="P1001" s="16"/>
      <c r="Q1001" s="16"/>
      <c r="R1001" s="16"/>
      <c r="S1001" s="16"/>
      <c r="T1001" s="16"/>
      <c r="U1001" s="16"/>
      <c r="V1001" s="16"/>
      <c r="W1001" s="16"/>
      <c r="X1001" s="16"/>
      <c r="Y1001" s="16"/>
      <c r="Z1001" s="16"/>
      <c r="AA1001" s="16"/>
      <c r="AB1001" s="16"/>
    </row>
    <row r="1002" spans="3:28" ht="12.75">
      <c r="C1002" s="16"/>
      <c r="D1002" s="16"/>
      <c r="E1002" s="16"/>
      <c r="F1002" s="16"/>
      <c r="G1002" s="16"/>
      <c r="H1002" s="16"/>
      <c r="I1002" s="16"/>
      <c r="J1002" s="16"/>
      <c r="K1002" s="16"/>
      <c r="L1002" s="16"/>
      <c r="M1002" s="16"/>
      <c r="N1002" s="16"/>
      <c r="O1002" s="16"/>
      <c r="P1002" s="16"/>
      <c r="Q1002" s="16"/>
      <c r="R1002" s="16"/>
      <c r="S1002" s="16"/>
      <c r="T1002" s="16"/>
      <c r="U1002" s="16"/>
      <c r="V1002" s="16"/>
      <c r="W1002" s="16"/>
      <c r="X1002" s="16"/>
      <c r="Y1002" s="16"/>
      <c r="Z1002" s="16"/>
      <c r="AA1002" s="16"/>
      <c r="AB1002" s="16"/>
    </row>
    <row r="1003" spans="3:28" ht="12.75">
      <c r="C1003" s="16"/>
      <c r="D1003" s="16"/>
      <c r="E1003" s="16"/>
      <c r="F1003" s="16"/>
      <c r="G1003" s="16"/>
      <c r="H1003" s="16"/>
      <c r="I1003" s="16"/>
      <c r="J1003" s="16"/>
      <c r="K1003" s="16"/>
      <c r="L1003" s="16"/>
      <c r="M1003" s="16"/>
      <c r="N1003" s="16"/>
      <c r="O1003" s="16"/>
      <c r="P1003" s="16"/>
      <c r="Q1003" s="16"/>
      <c r="R1003" s="16"/>
      <c r="S1003" s="16"/>
      <c r="T1003" s="16"/>
      <c r="U1003" s="16"/>
      <c r="V1003" s="16"/>
      <c r="W1003" s="16"/>
      <c r="X1003" s="16"/>
      <c r="Y1003" s="16"/>
      <c r="Z1003" s="16"/>
      <c r="AA1003" s="16"/>
      <c r="AB1003" s="16"/>
    </row>
    <row r="1004" spans="3:28" ht="12.75">
      <c r="C1004" s="16"/>
      <c r="D1004" s="16"/>
      <c r="E1004" s="16"/>
      <c r="F1004" s="16"/>
      <c r="G1004" s="16"/>
      <c r="H1004" s="16"/>
      <c r="I1004" s="16"/>
      <c r="J1004" s="16"/>
      <c r="K1004" s="16"/>
      <c r="L1004" s="16"/>
      <c r="M1004" s="16"/>
      <c r="N1004" s="16"/>
      <c r="O1004" s="16"/>
      <c r="P1004" s="16"/>
      <c r="Q1004" s="16"/>
      <c r="R1004" s="16"/>
      <c r="S1004" s="16"/>
      <c r="T1004" s="16"/>
      <c r="U1004" s="16"/>
      <c r="V1004" s="16"/>
      <c r="W1004" s="16"/>
      <c r="X1004" s="16"/>
      <c r="Y1004" s="16"/>
      <c r="Z1004" s="16"/>
      <c r="AA1004" s="16"/>
      <c r="AB1004" s="16"/>
    </row>
    <row r="1005" spans="3:28" ht="12.75">
      <c r="C1005" s="16"/>
      <c r="D1005" s="16"/>
      <c r="E1005" s="16"/>
      <c r="F1005" s="16"/>
      <c r="G1005" s="16"/>
      <c r="H1005" s="16"/>
      <c r="I1005" s="16"/>
      <c r="J1005" s="16"/>
      <c r="K1005" s="16"/>
      <c r="L1005" s="16"/>
      <c r="M1005" s="16"/>
      <c r="N1005" s="16"/>
      <c r="O1005" s="16"/>
      <c r="P1005" s="16"/>
      <c r="Q1005" s="16"/>
      <c r="R1005" s="16"/>
      <c r="S1005" s="16"/>
      <c r="T1005" s="16"/>
      <c r="U1005" s="16"/>
      <c r="V1005" s="16"/>
      <c r="W1005" s="16"/>
      <c r="X1005" s="16"/>
      <c r="Y1005" s="16"/>
      <c r="Z1005" s="16"/>
      <c r="AA1005" s="16"/>
      <c r="AB1005" s="16"/>
    </row>
    <row r="1006" spans="3:28" ht="12.75">
      <c r="C1006" s="16"/>
      <c r="D1006" s="16"/>
      <c r="E1006" s="16"/>
      <c r="F1006" s="16"/>
      <c r="G1006" s="16"/>
      <c r="H1006" s="16"/>
      <c r="I1006" s="16"/>
      <c r="J1006" s="16"/>
      <c r="K1006" s="16"/>
      <c r="L1006" s="16"/>
      <c r="M1006" s="16"/>
      <c r="N1006" s="16"/>
      <c r="O1006" s="16"/>
      <c r="P1006" s="16"/>
      <c r="Q1006" s="16"/>
      <c r="R1006" s="16"/>
      <c r="S1006" s="16"/>
      <c r="T1006" s="16"/>
      <c r="U1006" s="16"/>
      <c r="V1006" s="16"/>
      <c r="W1006" s="16"/>
      <c r="X1006" s="16"/>
      <c r="Y1006" s="16"/>
      <c r="Z1006" s="16"/>
      <c r="AA1006" s="16"/>
      <c r="AB1006" s="16"/>
    </row>
    <row r="1007" spans="3:28" ht="12.75">
      <c r="C1007" s="16"/>
      <c r="D1007" s="16"/>
      <c r="E1007" s="16"/>
      <c r="F1007" s="16"/>
      <c r="G1007" s="16"/>
      <c r="H1007" s="16"/>
      <c r="I1007" s="16"/>
      <c r="J1007" s="16"/>
      <c r="K1007" s="16"/>
      <c r="L1007" s="16"/>
      <c r="M1007" s="16"/>
      <c r="N1007" s="16"/>
      <c r="O1007" s="16"/>
      <c r="P1007" s="16"/>
      <c r="Q1007" s="16"/>
      <c r="R1007" s="16"/>
      <c r="S1007" s="16"/>
      <c r="T1007" s="16"/>
      <c r="U1007" s="16"/>
      <c r="V1007" s="16"/>
      <c r="W1007" s="16"/>
      <c r="X1007" s="16"/>
      <c r="Y1007" s="16"/>
      <c r="Z1007" s="16"/>
      <c r="AA1007" s="16"/>
      <c r="AB1007" s="16"/>
    </row>
    <row r="1008" spans="3:28" ht="12.75">
      <c r="C1008" s="16"/>
      <c r="D1008" s="16"/>
      <c r="E1008" s="16"/>
      <c r="F1008" s="16"/>
      <c r="G1008" s="16"/>
      <c r="H1008" s="16"/>
      <c r="I1008" s="16"/>
      <c r="J1008" s="16"/>
      <c r="K1008" s="16"/>
      <c r="L1008" s="16"/>
      <c r="M1008" s="16"/>
      <c r="N1008" s="16"/>
      <c r="O1008" s="16"/>
      <c r="P1008" s="16"/>
      <c r="Q1008" s="16"/>
      <c r="R1008" s="16"/>
      <c r="S1008" s="16"/>
      <c r="T1008" s="16"/>
      <c r="U1008" s="16"/>
      <c r="V1008" s="16"/>
      <c r="W1008" s="16"/>
      <c r="X1008" s="16"/>
      <c r="Y1008" s="16"/>
      <c r="Z1008" s="16"/>
      <c r="AA1008" s="16"/>
      <c r="AB1008" s="16"/>
    </row>
    <row r="1009" spans="3:28" ht="12.75">
      <c r="C1009" s="16"/>
      <c r="D1009" s="16"/>
      <c r="E1009" s="16"/>
      <c r="F1009" s="16"/>
      <c r="G1009" s="16"/>
      <c r="H1009" s="16"/>
      <c r="I1009" s="16"/>
      <c r="J1009" s="16"/>
      <c r="K1009" s="16"/>
      <c r="L1009" s="16"/>
      <c r="M1009" s="16"/>
      <c r="N1009" s="16"/>
      <c r="O1009" s="16"/>
      <c r="P1009" s="16"/>
      <c r="Q1009" s="16"/>
      <c r="R1009" s="16"/>
      <c r="S1009" s="16"/>
      <c r="T1009" s="16"/>
      <c r="U1009" s="16"/>
      <c r="V1009" s="16"/>
      <c r="W1009" s="16"/>
      <c r="X1009" s="16"/>
      <c r="Y1009" s="16"/>
      <c r="Z1009" s="16"/>
      <c r="AA1009" s="16"/>
      <c r="AB1009" s="16"/>
    </row>
    <row r="1010" spans="3:28" ht="12.75">
      <c r="C1010" s="16"/>
      <c r="D1010" s="16"/>
      <c r="E1010" s="16"/>
      <c r="F1010" s="16"/>
      <c r="G1010" s="16"/>
      <c r="H1010" s="16"/>
      <c r="I1010" s="16"/>
      <c r="J1010" s="16"/>
      <c r="K1010" s="16"/>
      <c r="L1010" s="16"/>
      <c r="M1010" s="16"/>
      <c r="N1010" s="16"/>
      <c r="O1010" s="16"/>
      <c r="P1010" s="16"/>
      <c r="Q1010" s="16"/>
      <c r="R1010" s="16"/>
      <c r="S1010" s="16"/>
      <c r="T1010" s="16"/>
      <c r="U1010" s="16"/>
      <c r="V1010" s="16"/>
      <c r="W1010" s="16"/>
      <c r="X1010" s="16"/>
      <c r="Y1010" s="16"/>
      <c r="Z1010" s="16"/>
      <c r="AA1010" s="16"/>
      <c r="AB1010" s="16"/>
    </row>
    <row r="1011" spans="3:28" ht="12.75">
      <c r="C1011" s="16"/>
      <c r="D1011" s="16"/>
      <c r="E1011" s="16"/>
      <c r="F1011" s="16"/>
      <c r="G1011" s="16"/>
      <c r="H1011" s="16"/>
      <c r="I1011" s="16"/>
      <c r="J1011" s="16"/>
      <c r="K1011" s="16"/>
      <c r="L1011" s="16"/>
      <c r="M1011" s="16"/>
      <c r="N1011" s="16"/>
      <c r="O1011" s="16"/>
      <c r="P1011" s="16"/>
      <c r="Q1011" s="16"/>
      <c r="R1011" s="16"/>
      <c r="S1011" s="16"/>
      <c r="T1011" s="16"/>
      <c r="U1011" s="16"/>
      <c r="V1011" s="16"/>
      <c r="W1011" s="16"/>
      <c r="X1011" s="16"/>
      <c r="Y1011" s="16"/>
      <c r="Z1011" s="16"/>
      <c r="AA1011" s="16"/>
      <c r="AB1011" s="16"/>
    </row>
    <row r="1012" spans="3:28" ht="12.75">
      <c r="C1012" s="16"/>
      <c r="D1012" s="16"/>
      <c r="E1012" s="16"/>
      <c r="F1012" s="16"/>
      <c r="G1012" s="16"/>
      <c r="H1012" s="16"/>
      <c r="I1012" s="16"/>
      <c r="J1012" s="16"/>
      <c r="K1012" s="16"/>
      <c r="L1012" s="16"/>
      <c r="M1012" s="16"/>
      <c r="N1012" s="16"/>
      <c r="O1012" s="16"/>
      <c r="P1012" s="16"/>
      <c r="Q1012" s="16"/>
      <c r="R1012" s="16"/>
      <c r="S1012" s="16"/>
      <c r="T1012" s="16"/>
      <c r="U1012" s="16"/>
      <c r="V1012" s="16"/>
      <c r="W1012" s="16"/>
      <c r="X1012" s="16"/>
      <c r="Y1012" s="16"/>
      <c r="Z1012" s="16"/>
      <c r="AA1012" s="16"/>
      <c r="AB1012" s="16"/>
    </row>
    <row r="1013" spans="3:28" ht="12.75">
      <c r="C1013" s="16"/>
      <c r="D1013" s="16"/>
      <c r="E1013" s="16"/>
      <c r="F1013" s="16"/>
      <c r="G1013" s="16"/>
      <c r="H1013" s="16"/>
      <c r="I1013" s="16"/>
      <c r="J1013" s="16"/>
      <c r="K1013" s="16"/>
      <c r="L1013" s="16"/>
      <c r="M1013" s="16"/>
      <c r="N1013" s="16"/>
      <c r="O1013" s="16"/>
      <c r="P1013" s="16"/>
      <c r="Q1013" s="16"/>
      <c r="R1013" s="16"/>
      <c r="S1013" s="16"/>
      <c r="T1013" s="16"/>
      <c r="U1013" s="16"/>
      <c r="V1013" s="16"/>
      <c r="W1013" s="16"/>
      <c r="X1013" s="16"/>
      <c r="Y1013" s="16"/>
      <c r="Z1013" s="16"/>
      <c r="AA1013" s="16"/>
      <c r="AB1013" s="16"/>
    </row>
    <row r="1014" spans="3:28" ht="12.75">
      <c r="C1014" s="16"/>
      <c r="D1014" s="16"/>
      <c r="E1014" s="16"/>
      <c r="F1014" s="16"/>
      <c r="G1014" s="16"/>
      <c r="H1014" s="16"/>
      <c r="I1014" s="16"/>
      <c r="J1014" s="16"/>
      <c r="K1014" s="16"/>
      <c r="L1014" s="16"/>
      <c r="M1014" s="16"/>
      <c r="N1014" s="16"/>
      <c r="O1014" s="16"/>
      <c r="P1014" s="16"/>
      <c r="Q1014" s="16"/>
      <c r="R1014" s="16"/>
      <c r="S1014" s="16"/>
      <c r="T1014" s="16"/>
      <c r="U1014" s="16"/>
      <c r="V1014" s="16"/>
      <c r="W1014" s="16"/>
      <c r="X1014" s="16"/>
      <c r="Y1014" s="16"/>
      <c r="Z1014" s="16"/>
      <c r="AA1014" s="16"/>
      <c r="AB1014" s="16"/>
    </row>
    <row r="1015" spans="3:28" ht="12.75">
      <c r="C1015" s="16"/>
      <c r="D1015" s="16"/>
      <c r="E1015" s="16"/>
      <c r="F1015" s="16"/>
      <c r="G1015" s="16"/>
      <c r="H1015" s="16"/>
      <c r="I1015" s="16"/>
      <c r="J1015" s="16"/>
      <c r="K1015" s="16"/>
      <c r="L1015" s="16"/>
      <c r="M1015" s="16"/>
      <c r="N1015" s="16"/>
      <c r="O1015" s="16"/>
      <c r="P1015" s="16"/>
      <c r="Q1015" s="16"/>
      <c r="R1015" s="16"/>
      <c r="S1015" s="16"/>
      <c r="T1015" s="16"/>
      <c r="U1015" s="16"/>
      <c r="V1015" s="16"/>
      <c r="W1015" s="16"/>
      <c r="X1015" s="16"/>
      <c r="Y1015" s="16"/>
      <c r="Z1015" s="16"/>
      <c r="AA1015" s="16"/>
      <c r="AB1015" s="16"/>
    </row>
    <row r="1016" spans="3:28" ht="12.75">
      <c r="C1016" s="16"/>
      <c r="D1016" s="16"/>
      <c r="E1016" s="16"/>
      <c r="F1016" s="16"/>
      <c r="G1016" s="16"/>
      <c r="H1016" s="16"/>
      <c r="I1016" s="16"/>
      <c r="J1016" s="16"/>
      <c r="K1016" s="16"/>
      <c r="L1016" s="16"/>
      <c r="M1016" s="16"/>
      <c r="N1016" s="16"/>
      <c r="O1016" s="16"/>
      <c r="P1016" s="16"/>
      <c r="Q1016" s="16"/>
      <c r="R1016" s="16"/>
      <c r="S1016" s="16"/>
      <c r="T1016" s="16"/>
      <c r="U1016" s="16"/>
      <c r="V1016" s="16"/>
      <c r="W1016" s="16"/>
      <c r="X1016" s="16"/>
      <c r="Y1016" s="16"/>
      <c r="Z1016" s="16"/>
      <c r="AA1016" s="16"/>
      <c r="AB1016" s="16"/>
    </row>
    <row r="1017" spans="3:28" ht="12.75">
      <c r="C1017" s="16"/>
      <c r="D1017" s="16"/>
      <c r="E1017" s="16"/>
      <c r="F1017" s="16"/>
      <c r="G1017" s="16"/>
      <c r="H1017" s="16"/>
      <c r="I1017" s="16"/>
      <c r="J1017" s="16"/>
      <c r="K1017" s="16"/>
      <c r="L1017" s="16"/>
      <c r="M1017" s="16"/>
      <c r="N1017" s="16"/>
      <c r="O1017" s="16"/>
      <c r="P1017" s="16"/>
      <c r="Q1017" s="16"/>
      <c r="R1017" s="16"/>
      <c r="S1017" s="16"/>
      <c r="T1017" s="16"/>
      <c r="U1017" s="16"/>
      <c r="V1017" s="16"/>
      <c r="W1017" s="16"/>
      <c r="X1017" s="16"/>
      <c r="Y1017" s="16"/>
      <c r="Z1017" s="16"/>
      <c r="AA1017" s="16"/>
      <c r="AB1017" s="16"/>
    </row>
    <row r="1018" spans="3:28" ht="12.75">
      <c r="C1018" s="16"/>
      <c r="D1018" s="16"/>
      <c r="E1018" s="16"/>
      <c r="F1018" s="16"/>
      <c r="G1018" s="16"/>
      <c r="H1018" s="16"/>
      <c r="I1018" s="16"/>
      <c r="J1018" s="16"/>
      <c r="K1018" s="16"/>
      <c r="L1018" s="16"/>
      <c r="M1018" s="16"/>
      <c r="N1018" s="16"/>
      <c r="O1018" s="16"/>
      <c r="P1018" s="16"/>
      <c r="Q1018" s="16"/>
      <c r="R1018" s="16"/>
      <c r="S1018" s="16"/>
      <c r="T1018" s="16"/>
      <c r="U1018" s="16"/>
      <c r="V1018" s="16"/>
      <c r="W1018" s="16"/>
      <c r="X1018" s="16"/>
      <c r="Y1018" s="16"/>
      <c r="Z1018" s="16"/>
      <c r="AA1018" s="16"/>
      <c r="AB1018" s="16"/>
    </row>
    <row r="1019" spans="3:28" ht="12.75">
      <c r="C1019" s="16"/>
      <c r="D1019" s="16"/>
      <c r="E1019" s="16"/>
      <c r="F1019" s="16"/>
      <c r="G1019" s="16"/>
      <c r="H1019" s="16"/>
      <c r="I1019" s="16"/>
      <c r="J1019" s="16"/>
      <c r="K1019" s="16"/>
      <c r="L1019" s="16"/>
      <c r="M1019" s="16"/>
      <c r="N1019" s="16"/>
      <c r="O1019" s="16"/>
      <c r="P1019" s="16"/>
      <c r="Q1019" s="16"/>
      <c r="R1019" s="16"/>
      <c r="S1019" s="16"/>
      <c r="T1019" s="16"/>
      <c r="U1019" s="16"/>
      <c r="V1019" s="16"/>
      <c r="W1019" s="16"/>
      <c r="X1019" s="16"/>
      <c r="Y1019" s="16"/>
      <c r="Z1019" s="16"/>
      <c r="AA1019" s="16"/>
      <c r="AB1019" s="16"/>
    </row>
    <row r="1020" spans="3:28" ht="12.75">
      <c r="C1020" s="16"/>
      <c r="D1020" s="16"/>
      <c r="E1020" s="16"/>
      <c r="F1020" s="16"/>
      <c r="G1020" s="16"/>
      <c r="H1020" s="16"/>
      <c r="I1020" s="16"/>
      <c r="J1020" s="16"/>
      <c r="K1020" s="16"/>
      <c r="L1020" s="16"/>
      <c r="M1020" s="16"/>
      <c r="N1020" s="16"/>
      <c r="O1020" s="16"/>
      <c r="P1020" s="16"/>
      <c r="Q1020" s="16"/>
      <c r="R1020" s="16"/>
      <c r="S1020" s="16"/>
      <c r="T1020" s="16"/>
      <c r="U1020" s="16"/>
      <c r="V1020" s="16"/>
      <c r="W1020" s="16"/>
      <c r="X1020" s="16"/>
      <c r="Y1020" s="16"/>
      <c r="Z1020" s="16"/>
      <c r="AA1020" s="16"/>
      <c r="AB1020" s="16"/>
    </row>
    <row r="1021" spans="3:28" ht="12.75">
      <c r="C1021" s="16"/>
      <c r="D1021" s="16"/>
      <c r="E1021" s="16"/>
      <c r="F1021" s="16"/>
      <c r="G1021" s="16"/>
      <c r="H1021" s="16"/>
      <c r="I1021" s="16"/>
      <c r="J1021" s="16"/>
      <c r="K1021" s="16"/>
      <c r="L1021" s="16"/>
      <c r="M1021" s="16"/>
      <c r="N1021" s="16"/>
      <c r="O1021" s="16"/>
      <c r="P1021" s="16"/>
      <c r="Q1021" s="16"/>
      <c r="R1021" s="16"/>
      <c r="S1021" s="16"/>
      <c r="T1021" s="16"/>
      <c r="U1021" s="16"/>
      <c r="V1021" s="16"/>
      <c r="W1021" s="16"/>
      <c r="X1021" s="16"/>
      <c r="Y1021" s="16"/>
      <c r="Z1021" s="16"/>
      <c r="AA1021" s="16"/>
      <c r="AB1021" s="16"/>
    </row>
    <row r="1022" spans="3:28" ht="12.75">
      <c r="C1022" s="16"/>
      <c r="D1022" s="16"/>
      <c r="E1022" s="16"/>
      <c r="F1022" s="16"/>
      <c r="G1022" s="16"/>
      <c r="H1022" s="16"/>
      <c r="I1022" s="16"/>
      <c r="J1022" s="16"/>
      <c r="K1022" s="16"/>
      <c r="L1022" s="16"/>
      <c r="M1022" s="16"/>
      <c r="N1022" s="16"/>
      <c r="O1022" s="16"/>
      <c r="P1022" s="16"/>
      <c r="Q1022" s="16"/>
      <c r="R1022" s="16"/>
      <c r="S1022" s="16"/>
      <c r="T1022" s="16"/>
      <c r="U1022" s="16"/>
      <c r="V1022" s="16"/>
      <c r="W1022" s="16"/>
      <c r="X1022" s="16"/>
      <c r="Y1022" s="16"/>
      <c r="Z1022" s="16"/>
      <c r="AA1022" s="16"/>
      <c r="AB1022" s="16"/>
    </row>
    <row r="1023" spans="3:28" ht="12.75">
      <c r="C1023" s="16"/>
      <c r="D1023" s="16"/>
      <c r="E1023" s="16"/>
      <c r="F1023" s="16"/>
      <c r="G1023" s="16"/>
      <c r="H1023" s="16"/>
      <c r="I1023" s="16"/>
      <c r="J1023" s="16"/>
      <c r="K1023" s="16"/>
      <c r="L1023" s="16"/>
      <c r="M1023" s="16"/>
      <c r="N1023" s="16"/>
      <c r="O1023" s="16"/>
      <c r="P1023" s="16"/>
      <c r="Q1023" s="16"/>
      <c r="R1023" s="16"/>
      <c r="S1023" s="16"/>
      <c r="T1023" s="16"/>
      <c r="U1023" s="16"/>
      <c r="V1023" s="16"/>
      <c r="W1023" s="16"/>
      <c r="X1023" s="16"/>
      <c r="Y1023" s="16"/>
      <c r="Z1023" s="16"/>
      <c r="AA1023" s="16"/>
      <c r="AB1023" s="16"/>
    </row>
    <row r="1024" spans="3:28" ht="12.75">
      <c r="C1024" s="16"/>
      <c r="D1024" s="16"/>
      <c r="E1024" s="16"/>
      <c r="F1024" s="16"/>
      <c r="G1024" s="16"/>
      <c r="H1024" s="16"/>
      <c r="I1024" s="16"/>
      <c r="J1024" s="16"/>
      <c r="K1024" s="16"/>
      <c r="L1024" s="16"/>
      <c r="M1024" s="16"/>
      <c r="N1024" s="16"/>
      <c r="O1024" s="16"/>
      <c r="P1024" s="16"/>
      <c r="Q1024" s="16"/>
      <c r="R1024" s="16"/>
      <c r="S1024" s="16"/>
      <c r="T1024" s="16"/>
      <c r="U1024" s="16"/>
      <c r="V1024" s="16"/>
      <c r="W1024" s="16"/>
      <c r="X1024" s="16"/>
      <c r="Y1024" s="16"/>
      <c r="Z1024" s="16"/>
      <c r="AA1024" s="16"/>
      <c r="AB1024" s="16"/>
    </row>
    <row r="1025" spans="3:28" ht="12.75">
      <c r="C1025" s="16"/>
      <c r="D1025" s="16"/>
      <c r="E1025" s="16"/>
      <c r="F1025" s="16"/>
      <c r="G1025" s="16"/>
      <c r="H1025" s="16"/>
      <c r="I1025" s="16"/>
      <c r="J1025" s="16"/>
      <c r="K1025" s="16"/>
      <c r="L1025" s="16"/>
      <c r="M1025" s="16"/>
      <c r="N1025" s="16"/>
      <c r="O1025" s="16"/>
      <c r="P1025" s="16"/>
      <c r="Q1025" s="16"/>
      <c r="R1025" s="16"/>
      <c r="S1025" s="16"/>
      <c r="T1025" s="16"/>
      <c r="U1025" s="16"/>
      <c r="V1025" s="16"/>
      <c r="W1025" s="16"/>
      <c r="X1025" s="16"/>
      <c r="Y1025" s="16"/>
      <c r="Z1025" s="16"/>
      <c r="AA1025" s="16"/>
      <c r="AB1025" s="16"/>
    </row>
    <row r="1026" spans="3:28" ht="12.75">
      <c r="C1026" s="16"/>
      <c r="D1026" s="16"/>
      <c r="E1026" s="16"/>
      <c r="F1026" s="16"/>
      <c r="G1026" s="16"/>
      <c r="H1026" s="16"/>
      <c r="I1026" s="16"/>
      <c r="J1026" s="16"/>
      <c r="K1026" s="16"/>
      <c r="L1026" s="16"/>
      <c r="M1026" s="16"/>
      <c r="N1026" s="16"/>
      <c r="O1026" s="16"/>
      <c r="P1026" s="16"/>
      <c r="Q1026" s="16"/>
      <c r="R1026" s="16"/>
      <c r="S1026" s="16"/>
      <c r="T1026" s="16"/>
      <c r="U1026" s="16"/>
      <c r="V1026" s="16"/>
      <c r="W1026" s="16"/>
      <c r="X1026" s="16"/>
      <c r="Y1026" s="16"/>
      <c r="Z1026" s="16"/>
      <c r="AA1026" s="16"/>
      <c r="AB1026" s="16"/>
    </row>
    <row r="1027" spans="3:28" ht="12.75">
      <c r="C1027" s="16"/>
      <c r="D1027" s="16"/>
      <c r="E1027" s="16"/>
      <c r="F1027" s="16"/>
      <c r="G1027" s="16"/>
      <c r="H1027" s="16"/>
      <c r="I1027" s="16"/>
      <c r="J1027" s="16"/>
      <c r="K1027" s="16"/>
      <c r="L1027" s="16"/>
      <c r="M1027" s="16"/>
      <c r="N1027" s="16"/>
      <c r="O1027" s="16"/>
      <c r="P1027" s="16"/>
      <c r="Q1027" s="16"/>
      <c r="R1027" s="16"/>
      <c r="S1027" s="16"/>
      <c r="T1027" s="16"/>
      <c r="U1027" s="16"/>
      <c r="V1027" s="16"/>
      <c r="W1027" s="16"/>
      <c r="X1027" s="16"/>
      <c r="Y1027" s="16"/>
      <c r="Z1027" s="16"/>
      <c r="AA1027" s="16"/>
      <c r="AB1027" s="16"/>
    </row>
    <row r="1028" spans="3:28" ht="12.75">
      <c r="C1028" s="16"/>
      <c r="D1028" s="16"/>
      <c r="E1028" s="16"/>
      <c r="F1028" s="16"/>
      <c r="G1028" s="16"/>
      <c r="H1028" s="16"/>
      <c r="I1028" s="16"/>
      <c r="J1028" s="16"/>
      <c r="K1028" s="16"/>
      <c r="L1028" s="16"/>
      <c r="M1028" s="16"/>
      <c r="N1028" s="16"/>
      <c r="O1028" s="16"/>
      <c r="P1028" s="16"/>
      <c r="Q1028" s="16"/>
      <c r="R1028" s="16"/>
      <c r="S1028" s="16"/>
      <c r="T1028" s="16"/>
      <c r="U1028" s="16"/>
      <c r="V1028" s="16"/>
      <c r="W1028" s="16"/>
      <c r="X1028" s="16"/>
      <c r="Y1028" s="16"/>
      <c r="Z1028" s="16"/>
      <c r="AA1028" s="16"/>
      <c r="AB1028" s="16"/>
    </row>
    <row r="1029" spans="3:28" ht="12.75">
      <c r="C1029" s="16"/>
      <c r="D1029" s="16"/>
      <c r="E1029" s="16"/>
      <c r="F1029" s="16"/>
      <c r="G1029" s="16"/>
      <c r="H1029" s="16"/>
      <c r="I1029" s="16"/>
      <c r="J1029" s="16"/>
      <c r="K1029" s="16"/>
      <c r="L1029" s="16"/>
      <c r="M1029" s="16"/>
      <c r="N1029" s="16"/>
      <c r="O1029" s="16"/>
      <c r="P1029" s="16"/>
      <c r="Q1029" s="16"/>
      <c r="R1029" s="16"/>
      <c r="S1029" s="16"/>
      <c r="T1029" s="16"/>
      <c r="U1029" s="16"/>
      <c r="V1029" s="16"/>
      <c r="W1029" s="16"/>
      <c r="X1029" s="16"/>
      <c r="Y1029" s="16"/>
      <c r="Z1029" s="16"/>
      <c r="AA1029" s="16"/>
      <c r="AB1029" s="16"/>
    </row>
    <row r="1030" spans="3:28" ht="12.75">
      <c r="C1030" s="16"/>
      <c r="D1030" s="16"/>
      <c r="E1030" s="16"/>
      <c r="F1030" s="16"/>
      <c r="G1030" s="16"/>
      <c r="H1030" s="16"/>
      <c r="I1030" s="16"/>
      <c r="J1030" s="16"/>
      <c r="K1030" s="16"/>
      <c r="L1030" s="16"/>
      <c r="M1030" s="16"/>
      <c r="N1030" s="16"/>
      <c r="O1030" s="16"/>
      <c r="P1030" s="16"/>
      <c r="Q1030" s="16"/>
      <c r="R1030" s="16"/>
      <c r="S1030" s="16"/>
      <c r="T1030" s="16"/>
      <c r="U1030" s="16"/>
      <c r="V1030" s="16"/>
      <c r="W1030" s="16"/>
      <c r="X1030" s="16"/>
      <c r="Y1030" s="16"/>
      <c r="Z1030" s="16"/>
      <c r="AA1030" s="16"/>
      <c r="AB1030" s="16"/>
    </row>
    <row r="1031" spans="3:28" ht="12.75">
      <c r="C1031" s="16"/>
      <c r="D1031" s="16"/>
      <c r="E1031" s="16"/>
      <c r="F1031" s="16"/>
      <c r="G1031" s="16"/>
      <c r="H1031" s="16"/>
      <c r="I1031" s="16"/>
      <c r="J1031" s="16"/>
      <c r="K1031" s="16"/>
      <c r="L1031" s="16"/>
      <c r="M1031" s="16"/>
      <c r="N1031" s="16"/>
      <c r="O1031" s="16"/>
      <c r="P1031" s="16"/>
      <c r="Q1031" s="16"/>
      <c r="R1031" s="16"/>
      <c r="S1031" s="16"/>
      <c r="T1031" s="16"/>
      <c r="U1031" s="16"/>
      <c r="V1031" s="16"/>
      <c r="W1031" s="16"/>
      <c r="X1031" s="16"/>
      <c r="Y1031" s="16"/>
      <c r="Z1031" s="16"/>
      <c r="AA1031" s="16"/>
      <c r="AB1031" s="16"/>
    </row>
    <row r="1032" spans="3:28" ht="12.75">
      <c r="C1032" s="16"/>
      <c r="D1032" s="16"/>
      <c r="E1032" s="16"/>
      <c r="F1032" s="16"/>
      <c r="G1032" s="16"/>
      <c r="H1032" s="16"/>
      <c r="I1032" s="16"/>
      <c r="J1032" s="16"/>
      <c r="K1032" s="16"/>
      <c r="L1032" s="16"/>
      <c r="M1032" s="16"/>
      <c r="N1032" s="16"/>
      <c r="O1032" s="16"/>
      <c r="P1032" s="16"/>
      <c r="Q1032" s="16"/>
      <c r="R1032" s="16"/>
      <c r="S1032" s="16"/>
      <c r="T1032" s="16"/>
      <c r="U1032" s="16"/>
      <c r="V1032" s="16"/>
      <c r="W1032" s="16"/>
      <c r="X1032" s="16"/>
      <c r="Y1032" s="16"/>
      <c r="Z1032" s="16"/>
      <c r="AA1032" s="16"/>
      <c r="AB1032" s="16"/>
    </row>
    <row r="1033" spans="3:28" ht="12.75">
      <c r="C1033" s="16"/>
      <c r="D1033" s="16"/>
      <c r="E1033" s="16"/>
      <c r="F1033" s="16"/>
      <c r="G1033" s="16"/>
      <c r="H1033" s="16"/>
      <c r="I1033" s="16"/>
      <c r="J1033" s="16"/>
      <c r="K1033" s="16"/>
      <c r="L1033" s="16"/>
      <c r="M1033" s="16"/>
      <c r="N1033" s="16"/>
      <c r="O1033" s="16"/>
      <c r="P1033" s="16"/>
      <c r="Q1033" s="16"/>
      <c r="R1033" s="16"/>
      <c r="S1033" s="16"/>
      <c r="T1033" s="16"/>
      <c r="U1033" s="16"/>
      <c r="V1033" s="16"/>
      <c r="W1033" s="16"/>
      <c r="X1033" s="16"/>
      <c r="Y1033" s="16"/>
      <c r="Z1033" s="16"/>
      <c r="AA1033" s="16"/>
      <c r="AB1033" s="16"/>
    </row>
    <row r="1034" spans="3:28" ht="12.75">
      <c r="C1034" s="16"/>
      <c r="D1034" s="16"/>
      <c r="E1034" s="16"/>
      <c r="F1034" s="16"/>
      <c r="G1034" s="16"/>
      <c r="H1034" s="16"/>
      <c r="I1034" s="16"/>
      <c r="J1034" s="16"/>
      <c r="K1034" s="16"/>
      <c r="L1034" s="16"/>
      <c r="M1034" s="16"/>
      <c r="N1034" s="16"/>
      <c r="O1034" s="16"/>
      <c r="P1034" s="16"/>
      <c r="Q1034" s="16"/>
      <c r="R1034" s="16"/>
      <c r="S1034" s="16"/>
      <c r="T1034" s="16"/>
      <c r="U1034" s="16"/>
      <c r="V1034" s="16"/>
      <c r="W1034" s="16"/>
      <c r="X1034" s="16"/>
      <c r="Y1034" s="16"/>
      <c r="Z1034" s="16"/>
      <c r="AA1034" s="16"/>
      <c r="AB1034" s="16"/>
    </row>
    <row r="1035" spans="3:28" ht="12.75">
      <c r="C1035" s="16"/>
      <c r="D1035" s="16"/>
      <c r="E1035" s="16"/>
      <c r="F1035" s="16"/>
      <c r="G1035" s="16"/>
      <c r="H1035" s="16"/>
      <c r="I1035" s="16"/>
      <c r="J1035" s="16"/>
      <c r="K1035" s="16"/>
      <c r="L1035" s="16"/>
      <c r="M1035" s="16"/>
      <c r="N1035" s="16"/>
      <c r="O1035" s="16"/>
      <c r="P1035" s="16"/>
      <c r="Q1035" s="16"/>
      <c r="R1035" s="16"/>
      <c r="S1035" s="16"/>
      <c r="T1035" s="16"/>
      <c r="U1035" s="16"/>
      <c r="V1035" s="16"/>
      <c r="W1035" s="16"/>
      <c r="X1035" s="16"/>
      <c r="Y1035" s="16"/>
      <c r="Z1035" s="16"/>
      <c r="AA1035" s="16"/>
      <c r="AB1035" s="16"/>
    </row>
    <row r="1036" spans="3:28" ht="12.75">
      <c r="C1036" s="16"/>
      <c r="D1036" s="16"/>
      <c r="E1036" s="16"/>
      <c r="F1036" s="16"/>
      <c r="G1036" s="16"/>
      <c r="H1036" s="16"/>
      <c r="I1036" s="16"/>
      <c r="J1036" s="16"/>
      <c r="K1036" s="16"/>
      <c r="L1036" s="16"/>
      <c r="M1036" s="16"/>
      <c r="N1036" s="16"/>
      <c r="O1036" s="16"/>
      <c r="P1036" s="16"/>
      <c r="Q1036" s="16"/>
      <c r="R1036" s="16"/>
      <c r="S1036" s="16"/>
      <c r="T1036" s="16"/>
      <c r="U1036" s="16"/>
      <c r="V1036" s="16"/>
      <c r="W1036" s="16"/>
      <c r="X1036" s="16"/>
      <c r="Y1036" s="16"/>
      <c r="Z1036" s="16"/>
      <c r="AA1036" s="16"/>
      <c r="AB1036" s="16"/>
    </row>
    <row r="1037" spans="3:28" ht="12.75">
      <c r="C1037" s="16"/>
      <c r="D1037" s="16"/>
      <c r="E1037" s="16"/>
      <c r="F1037" s="16"/>
      <c r="G1037" s="16"/>
      <c r="H1037" s="16"/>
      <c r="I1037" s="16"/>
      <c r="J1037" s="16"/>
      <c r="K1037" s="16"/>
      <c r="L1037" s="16"/>
      <c r="M1037" s="16"/>
      <c r="N1037" s="16"/>
      <c r="O1037" s="16"/>
      <c r="P1037" s="16"/>
      <c r="Q1037" s="16"/>
      <c r="R1037" s="16"/>
      <c r="S1037" s="16"/>
      <c r="T1037" s="16"/>
      <c r="U1037" s="16"/>
      <c r="V1037" s="16"/>
      <c r="W1037" s="16"/>
      <c r="X1037" s="16"/>
      <c r="Y1037" s="16"/>
      <c r="Z1037" s="16"/>
      <c r="AA1037" s="16"/>
      <c r="AB1037" s="16"/>
    </row>
    <row r="1038" spans="3:28" ht="12.75">
      <c r="C1038" s="16"/>
      <c r="D1038" s="16"/>
      <c r="E1038" s="16"/>
      <c r="F1038" s="16"/>
      <c r="G1038" s="16"/>
      <c r="H1038" s="16"/>
      <c r="I1038" s="16"/>
      <c r="J1038" s="16"/>
      <c r="K1038" s="16"/>
      <c r="L1038" s="16"/>
      <c r="M1038" s="16"/>
      <c r="N1038" s="16"/>
      <c r="O1038" s="16"/>
      <c r="P1038" s="16"/>
      <c r="Q1038" s="16"/>
      <c r="R1038" s="16"/>
      <c r="S1038" s="16"/>
      <c r="T1038" s="16"/>
      <c r="U1038" s="16"/>
      <c r="V1038" s="16"/>
      <c r="W1038" s="16"/>
      <c r="X1038" s="16"/>
      <c r="Y1038" s="16"/>
      <c r="Z1038" s="16"/>
      <c r="AA1038" s="16"/>
      <c r="AB1038" s="16"/>
    </row>
    <row r="1039" spans="3:28" ht="12.75">
      <c r="C1039" s="16"/>
      <c r="D1039" s="16"/>
      <c r="E1039" s="16"/>
      <c r="F1039" s="16"/>
      <c r="G1039" s="16"/>
      <c r="H1039" s="16"/>
      <c r="I1039" s="16"/>
      <c r="J1039" s="16"/>
      <c r="K1039" s="16"/>
      <c r="L1039" s="16"/>
      <c r="M1039" s="16"/>
      <c r="N1039" s="16"/>
      <c r="O1039" s="16"/>
      <c r="P1039" s="16"/>
      <c r="Q1039" s="16"/>
      <c r="R1039" s="16"/>
      <c r="S1039" s="16"/>
      <c r="T1039" s="16"/>
      <c r="U1039" s="16"/>
      <c r="V1039" s="16"/>
      <c r="W1039" s="16"/>
      <c r="X1039" s="16"/>
      <c r="Y1039" s="16"/>
      <c r="Z1039" s="16"/>
      <c r="AA1039" s="16"/>
      <c r="AB1039" s="16"/>
    </row>
    <row r="1040" spans="3:28" ht="12.75">
      <c r="C1040" s="16"/>
      <c r="D1040" s="16"/>
      <c r="E1040" s="16"/>
      <c r="F1040" s="16"/>
      <c r="G1040" s="16"/>
      <c r="H1040" s="16"/>
      <c r="I1040" s="16"/>
      <c r="J1040" s="16"/>
      <c r="K1040" s="16"/>
      <c r="L1040" s="16"/>
      <c r="M1040" s="16"/>
      <c r="N1040" s="16"/>
      <c r="O1040" s="16"/>
      <c r="P1040" s="16"/>
      <c r="Q1040" s="16"/>
      <c r="R1040" s="16"/>
      <c r="S1040" s="16"/>
      <c r="T1040" s="16"/>
      <c r="U1040" s="16"/>
      <c r="V1040" s="16"/>
      <c r="W1040" s="16"/>
      <c r="X1040" s="16"/>
      <c r="Y1040" s="16"/>
      <c r="Z1040" s="16"/>
      <c r="AA1040" s="16"/>
      <c r="AB1040" s="16"/>
    </row>
    <row r="1041" spans="3:28" ht="12.75">
      <c r="C1041" s="16"/>
      <c r="D1041" s="16"/>
      <c r="E1041" s="16"/>
      <c r="F1041" s="16"/>
      <c r="G1041" s="16"/>
      <c r="H1041" s="16"/>
      <c r="I1041" s="16"/>
      <c r="J1041" s="16"/>
      <c r="K1041" s="16"/>
      <c r="L1041" s="16"/>
      <c r="M1041" s="16"/>
      <c r="N1041" s="16"/>
      <c r="O1041" s="16"/>
      <c r="P1041" s="16"/>
      <c r="Q1041" s="16"/>
      <c r="R1041" s="16"/>
      <c r="S1041" s="16"/>
      <c r="T1041" s="16"/>
      <c r="U1041" s="16"/>
      <c r="V1041" s="16"/>
      <c r="W1041" s="16"/>
      <c r="X1041" s="16"/>
      <c r="Y1041" s="16"/>
      <c r="Z1041" s="16"/>
      <c r="AA1041" s="16"/>
      <c r="AB1041" s="16"/>
    </row>
    <row r="1042" spans="3:28" ht="12.75">
      <c r="C1042" s="16"/>
      <c r="D1042" s="16"/>
      <c r="E1042" s="16"/>
      <c r="F1042" s="16"/>
      <c r="G1042" s="16"/>
      <c r="H1042" s="16"/>
      <c r="I1042" s="16"/>
      <c r="J1042" s="16"/>
      <c r="K1042" s="16"/>
      <c r="L1042" s="16"/>
      <c r="M1042" s="16"/>
      <c r="N1042" s="16"/>
      <c r="O1042" s="16"/>
      <c r="P1042" s="16"/>
      <c r="Q1042" s="16"/>
      <c r="R1042" s="16"/>
      <c r="S1042" s="16"/>
      <c r="T1042" s="16"/>
      <c r="U1042" s="16"/>
      <c r="V1042" s="16"/>
      <c r="W1042" s="16"/>
      <c r="X1042" s="16"/>
      <c r="Y1042" s="16"/>
      <c r="Z1042" s="16"/>
      <c r="AA1042" s="16"/>
      <c r="AB1042" s="16"/>
    </row>
    <row r="1043" spans="3:28" ht="12.75">
      <c r="C1043" s="16"/>
      <c r="D1043" s="16"/>
      <c r="E1043" s="16"/>
      <c r="F1043" s="16"/>
      <c r="G1043" s="16"/>
      <c r="H1043" s="16"/>
      <c r="I1043" s="16"/>
      <c r="J1043" s="16"/>
      <c r="K1043" s="16"/>
      <c r="L1043" s="16"/>
      <c r="M1043" s="16"/>
      <c r="N1043" s="16"/>
      <c r="O1043" s="16"/>
      <c r="P1043" s="16"/>
      <c r="Q1043" s="16"/>
      <c r="R1043" s="16"/>
      <c r="S1043" s="16"/>
      <c r="T1043" s="16"/>
      <c r="U1043" s="16"/>
      <c r="V1043" s="16"/>
      <c r="W1043" s="16"/>
      <c r="X1043" s="16"/>
      <c r="Y1043" s="16"/>
      <c r="Z1043" s="16"/>
      <c r="AA1043" s="16"/>
      <c r="AB1043" s="16"/>
    </row>
    <row r="1044" spans="3:28" ht="12.75">
      <c r="C1044" s="16"/>
      <c r="D1044" s="16"/>
      <c r="E1044" s="16"/>
      <c r="F1044" s="16"/>
      <c r="G1044" s="16"/>
      <c r="H1044" s="16"/>
      <c r="I1044" s="16"/>
      <c r="J1044" s="16"/>
      <c r="K1044" s="16"/>
      <c r="L1044" s="16"/>
      <c r="M1044" s="16"/>
      <c r="N1044" s="16"/>
      <c r="O1044" s="16"/>
      <c r="P1044" s="16"/>
      <c r="Q1044" s="16"/>
      <c r="R1044" s="16"/>
      <c r="S1044" s="16"/>
      <c r="T1044" s="16"/>
      <c r="U1044" s="16"/>
      <c r="V1044" s="16"/>
      <c r="W1044" s="16"/>
      <c r="X1044" s="16"/>
      <c r="Y1044" s="16"/>
      <c r="Z1044" s="16"/>
      <c r="AA1044" s="16"/>
      <c r="AB1044" s="16"/>
    </row>
    <row r="1045" spans="3:28" ht="12.75">
      <c r="C1045" s="16"/>
      <c r="D1045" s="16"/>
      <c r="E1045" s="16"/>
      <c r="F1045" s="16"/>
      <c r="G1045" s="16"/>
      <c r="H1045" s="16"/>
      <c r="I1045" s="16"/>
      <c r="J1045" s="16"/>
      <c r="K1045" s="16"/>
      <c r="L1045" s="16"/>
      <c r="M1045" s="16"/>
      <c r="N1045" s="16"/>
      <c r="O1045" s="16"/>
      <c r="P1045" s="16"/>
      <c r="Q1045" s="16"/>
      <c r="R1045" s="16"/>
      <c r="S1045" s="16"/>
      <c r="T1045" s="16"/>
      <c r="U1045" s="16"/>
      <c r="V1045" s="16"/>
      <c r="W1045" s="16"/>
      <c r="X1045" s="16"/>
      <c r="Y1045" s="16"/>
      <c r="Z1045" s="16"/>
      <c r="AA1045" s="16"/>
      <c r="AB1045" s="16"/>
    </row>
    <row r="1046" spans="3:28" ht="12.75">
      <c r="C1046" s="16"/>
      <c r="D1046" s="16"/>
      <c r="E1046" s="16"/>
      <c r="F1046" s="16"/>
      <c r="G1046" s="16"/>
      <c r="H1046" s="16"/>
      <c r="I1046" s="16"/>
      <c r="J1046" s="16"/>
      <c r="K1046" s="16"/>
      <c r="L1046" s="16"/>
      <c r="M1046" s="16"/>
      <c r="N1046" s="16"/>
      <c r="O1046" s="16"/>
      <c r="P1046" s="16"/>
      <c r="Q1046" s="16"/>
      <c r="R1046" s="16"/>
      <c r="S1046" s="16"/>
      <c r="T1046" s="16"/>
      <c r="U1046" s="16"/>
      <c r="V1046" s="16"/>
      <c r="W1046" s="16"/>
      <c r="X1046" s="16"/>
      <c r="Y1046" s="16"/>
      <c r="Z1046" s="16"/>
      <c r="AA1046" s="16"/>
      <c r="AB1046" s="16"/>
    </row>
    <row r="1047" spans="3:28" ht="12.75">
      <c r="C1047" s="16"/>
      <c r="D1047" s="16"/>
      <c r="E1047" s="16"/>
      <c r="F1047" s="16"/>
      <c r="G1047" s="16"/>
      <c r="H1047" s="16"/>
      <c r="I1047" s="16"/>
      <c r="J1047" s="16"/>
      <c r="K1047" s="16"/>
      <c r="L1047" s="16"/>
      <c r="M1047" s="16"/>
      <c r="N1047" s="16"/>
      <c r="O1047" s="16"/>
      <c r="P1047" s="16"/>
      <c r="Q1047" s="16"/>
      <c r="R1047" s="16"/>
      <c r="S1047" s="16"/>
      <c r="T1047" s="16"/>
      <c r="U1047" s="16"/>
      <c r="V1047" s="16"/>
      <c r="W1047" s="16"/>
      <c r="X1047" s="16"/>
      <c r="Y1047" s="16"/>
      <c r="Z1047" s="16"/>
      <c r="AA1047" s="16"/>
      <c r="AB1047" s="16"/>
    </row>
    <row r="1048" spans="3:28" ht="12.75">
      <c r="C1048" s="16"/>
      <c r="D1048" s="16"/>
      <c r="E1048" s="16"/>
      <c r="F1048" s="16"/>
      <c r="G1048" s="16"/>
      <c r="H1048" s="16"/>
      <c r="I1048" s="16"/>
      <c r="J1048" s="16"/>
      <c r="K1048" s="16"/>
      <c r="L1048" s="16"/>
      <c r="M1048" s="16"/>
      <c r="N1048" s="16"/>
      <c r="O1048" s="16"/>
      <c r="P1048" s="16"/>
      <c r="Q1048" s="16"/>
      <c r="R1048" s="16"/>
      <c r="S1048" s="16"/>
      <c r="T1048" s="16"/>
      <c r="U1048" s="16"/>
      <c r="V1048" s="16"/>
      <c r="W1048" s="16"/>
      <c r="X1048" s="16"/>
      <c r="Y1048" s="16"/>
      <c r="Z1048" s="16"/>
      <c r="AA1048" s="16"/>
      <c r="AB1048" s="16"/>
    </row>
    <row r="1049" spans="3:28" ht="12.75">
      <c r="C1049" s="16"/>
      <c r="D1049" s="16"/>
      <c r="E1049" s="16"/>
      <c r="F1049" s="16"/>
      <c r="G1049" s="16"/>
      <c r="H1049" s="16"/>
      <c r="I1049" s="16"/>
      <c r="J1049" s="16"/>
      <c r="K1049" s="16"/>
      <c r="L1049" s="16"/>
      <c r="M1049" s="16"/>
      <c r="N1049" s="16"/>
      <c r="O1049" s="16"/>
      <c r="P1049" s="16"/>
      <c r="Q1049" s="16"/>
      <c r="R1049" s="16"/>
      <c r="S1049" s="16"/>
      <c r="T1049" s="16"/>
      <c r="U1049" s="16"/>
      <c r="V1049" s="16"/>
      <c r="W1049" s="16"/>
      <c r="X1049" s="16"/>
      <c r="Y1049" s="16"/>
      <c r="Z1049" s="16"/>
      <c r="AA1049" s="16"/>
      <c r="AB1049" s="16"/>
    </row>
    <row r="1050" spans="3:28" ht="12.75">
      <c r="C1050" s="16"/>
      <c r="D1050" s="16"/>
      <c r="E1050" s="16"/>
      <c r="F1050" s="16"/>
      <c r="G1050" s="16"/>
      <c r="H1050" s="16"/>
      <c r="I1050" s="16"/>
      <c r="J1050" s="16"/>
      <c r="K1050" s="16"/>
      <c r="L1050" s="16"/>
      <c r="M1050" s="16"/>
      <c r="N1050" s="16"/>
      <c r="O1050" s="16"/>
      <c r="P1050" s="16"/>
      <c r="Q1050" s="16"/>
      <c r="R1050" s="16"/>
      <c r="S1050" s="16"/>
      <c r="T1050" s="16"/>
      <c r="U1050" s="16"/>
      <c r="V1050" s="16"/>
      <c r="W1050" s="16"/>
      <c r="X1050" s="16"/>
      <c r="Y1050" s="16"/>
      <c r="Z1050" s="16"/>
      <c r="AA1050" s="16"/>
      <c r="AB1050" s="16"/>
    </row>
    <row r="1051" spans="3:28" ht="12.75">
      <c r="C1051" s="16"/>
      <c r="D1051" s="16"/>
      <c r="E1051" s="16"/>
      <c r="F1051" s="16"/>
      <c r="G1051" s="16"/>
      <c r="H1051" s="16"/>
      <c r="I1051" s="16"/>
      <c r="J1051" s="16"/>
      <c r="K1051" s="16"/>
      <c r="L1051" s="16"/>
      <c r="M1051" s="16"/>
      <c r="N1051" s="16"/>
      <c r="O1051" s="16"/>
      <c r="P1051" s="16"/>
      <c r="Q1051" s="16"/>
      <c r="R1051" s="16"/>
      <c r="S1051" s="16"/>
      <c r="T1051" s="16"/>
      <c r="U1051" s="16"/>
      <c r="V1051" s="16"/>
      <c r="W1051" s="16"/>
      <c r="X1051" s="16"/>
      <c r="Y1051" s="16"/>
      <c r="Z1051" s="16"/>
      <c r="AA1051" s="16"/>
      <c r="AB1051" s="16"/>
    </row>
    <row r="1052" spans="3:28" ht="12.75">
      <c r="C1052" s="16"/>
      <c r="D1052" s="16"/>
      <c r="E1052" s="16"/>
      <c r="F1052" s="16"/>
      <c r="G1052" s="16"/>
      <c r="H1052" s="16"/>
      <c r="I1052" s="16"/>
      <c r="J1052" s="16"/>
      <c r="K1052" s="16"/>
      <c r="L1052" s="16"/>
      <c r="M1052" s="16"/>
      <c r="N1052" s="16"/>
      <c r="O1052" s="16"/>
      <c r="P1052" s="16"/>
      <c r="Q1052" s="16"/>
      <c r="R1052" s="16"/>
      <c r="S1052" s="16"/>
      <c r="T1052" s="16"/>
      <c r="U1052" s="16"/>
      <c r="V1052" s="16"/>
      <c r="W1052" s="16"/>
      <c r="X1052" s="16"/>
      <c r="Y1052" s="16"/>
      <c r="Z1052" s="16"/>
      <c r="AA1052" s="16"/>
      <c r="AB1052" s="16"/>
    </row>
    <row r="1053" spans="3:28" ht="12.75">
      <c r="C1053" s="16"/>
      <c r="D1053" s="16"/>
      <c r="E1053" s="16"/>
      <c r="F1053" s="16"/>
      <c r="G1053" s="16"/>
      <c r="H1053" s="16"/>
      <c r="I1053" s="16"/>
      <c r="J1053" s="16"/>
      <c r="K1053" s="16"/>
      <c r="L1053" s="16"/>
      <c r="M1053" s="16"/>
      <c r="N1053" s="16"/>
      <c r="O1053" s="16"/>
      <c r="P1053" s="16"/>
      <c r="Q1053" s="16"/>
      <c r="R1053" s="16"/>
      <c r="S1053" s="16"/>
      <c r="T1053" s="16"/>
      <c r="U1053" s="16"/>
      <c r="V1053" s="16"/>
      <c r="W1053" s="16"/>
      <c r="X1053" s="16"/>
      <c r="Y1053" s="16"/>
      <c r="Z1053" s="16"/>
      <c r="AA1053" s="16"/>
      <c r="AB1053" s="16"/>
    </row>
    <row r="1054" spans="3:28" ht="12.75">
      <c r="C1054" s="16"/>
      <c r="D1054" s="16"/>
      <c r="E1054" s="16"/>
      <c r="F1054" s="16"/>
      <c r="G1054" s="16"/>
      <c r="H1054" s="16"/>
      <c r="I1054" s="16"/>
      <c r="J1054" s="16"/>
      <c r="K1054" s="16"/>
      <c r="L1054" s="16"/>
      <c r="M1054" s="16"/>
      <c r="N1054" s="16"/>
      <c r="O1054" s="16"/>
      <c r="P1054" s="16"/>
      <c r="Q1054" s="16"/>
      <c r="R1054" s="16"/>
      <c r="S1054" s="16"/>
      <c r="T1054" s="16"/>
      <c r="U1054" s="16"/>
      <c r="V1054" s="16"/>
      <c r="W1054" s="16"/>
      <c r="X1054" s="16"/>
      <c r="Y1054" s="16"/>
      <c r="Z1054" s="16"/>
      <c r="AA1054" s="16"/>
      <c r="AB1054" s="16"/>
    </row>
    <row r="1055" spans="3:28" ht="12.75">
      <c r="C1055" s="16"/>
      <c r="D1055" s="16"/>
      <c r="E1055" s="16"/>
      <c r="F1055" s="16"/>
      <c r="G1055" s="16"/>
      <c r="H1055" s="16"/>
      <c r="I1055" s="16"/>
      <c r="J1055" s="16"/>
      <c r="K1055" s="16"/>
      <c r="L1055" s="16"/>
      <c r="M1055" s="16"/>
      <c r="N1055" s="16"/>
      <c r="O1055" s="16"/>
      <c r="P1055" s="16"/>
      <c r="Q1055" s="16"/>
      <c r="R1055" s="16"/>
      <c r="S1055" s="16"/>
      <c r="T1055" s="16"/>
      <c r="U1055" s="16"/>
      <c r="V1055" s="16"/>
      <c r="W1055" s="16"/>
      <c r="X1055" s="16"/>
      <c r="Y1055" s="16"/>
      <c r="Z1055" s="16"/>
      <c r="AA1055" s="16"/>
      <c r="AB1055" s="16"/>
    </row>
    <row r="1056" spans="3:28" ht="12.75">
      <c r="C1056" s="16"/>
      <c r="D1056" s="16"/>
      <c r="E1056" s="16"/>
      <c r="F1056" s="16"/>
      <c r="G1056" s="16"/>
      <c r="H1056" s="16"/>
      <c r="I1056" s="16"/>
      <c r="J1056" s="16"/>
      <c r="K1056" s="16"/>
      <c r="L1056" s="16"/>
      <c r="M1056" s="16"/>
      <c r="N1056" s="16"/>
      <c r="O1056" s="16"/>
      <c r="P1056" s="16"/>
      <c r="Q1056" s="16"/>
      <c r="R1056" s="16"/>
      <c r="S1056" s="16"/>
      <c r="T1056" s="16"/>
      <c r="U1056" s="16"/>
      <c r="V1056" s="16"/>
      <c r="W1056" s="16"/>
      <c r="X1056" s="16"/>
      <c r="Y1056" s="16"/>
      <c r="Z1056" s="16"/>
      <c r="AA1056" s="16"/>
      <c r="AB1056" s="16"/>
    </row>
    <row r="1057" spans="3:28" ht="12.75">
      <c r="C1057" s="16"/>
      <c r="D1057" s="16"/>
      <c r="E1057" s="16"/>
      <c r="F1057" s="16"/>
      <c r="G1057" s="16"/>
      <c r="H1057" s="16"/>
      <c r="I1057" s="16"/>
      <c r="J1057" s="16"/>
      <c r="K1057" s="16"/>
      <c r="L1057" s="16"/>
      <c r="M1057" s="16"/>
      <c r="N1057" s="16"/>
      <c r="O1057" s="16"/>
      <c r="P1057" s="16"/>
      <c r="Q1057" s="16"/>
      <c r="R1057" s="16"/>
      <c r="S1057" s="16"/>
      <c r="T1057" s="16"/>
      <c r="U1057" s="16"/>
      <c r="V1057" s="16"/>
      <c r="W1057" s="16"/>
      <c r="X1057" s="16"/>
      <c r="Y1057" s="16"/>
      <c r="Z1057" s="16"/>
      <c r="AA1057" s="16"/>
      <c r="AB1057" s="16"/>
    </row>
    <row r="1058" spans="3:28" ht="12.75">
      <c r="C1058" s="16"/>
      <c r="D1058" s="16"/>
      <c r="E1058" s="16"/>
      <c r="F1058" s="16"/>
      <c r="G1058" s="16"/>
      <c r="H1058" s="16"/>
      <c r="I1058" s="16"/>
      <c r="J1058" s="16"/>
      <c r="K1058" s="16"/>
      <c r="L1058" s="16"/>
      <c r="M1058" s="16"/>
      <c r="N1058" s="16"/>
      <c r="O1058" s="16"/>
      <c r="P1058" s="16"/>
      <c r="Q1058" s="16"/>
      <c r="R1058" s="16"/>
      <c r="S1058" s="16"/>
      <c r="T1058" s="16"/>
      <c r="U1058" s="16"/>
      <c r="V1058" s="16"/>
      <c r="W1058" s="16"/>
      <c r="X1058" s="16"/>
      <c r="Y1058" s="16"/>
      <c r="Z1058" s="16"/>
      <c r="AA1058" s="16"/>
      <c r="AB1058" s="16"/>
    </row>
    <row r="1059" spans="3:28" ht="12.75">
      <c r="C1059" s="16"/>
      <c r="D1059" s="16"/>
      <c r="E1059" s="16"/>
      <c r="F1059" s="16"/>
      <c r="G1059" s="16"/>
      <c r="H1059" s="16"/>
      <c r="I1059" s="16"/>
      <c r="J1059" s="16"/>
      <c r="K1059" s="16"/>
      <c r="L1059" s="16"/>
      <c r="M1059" s="16"/>
      <c r="N1059" s="16"/>
      <c r="O1059" s="16"/>
      <c r="P1059" s="16"/>
      <c r="Q1059" s="16"/>
      <c r="R1059" s="16"/>
      <c r="S1059" s="16"/>
      <c r="T1059" s="16"/>
      <c r="U1059" s="16"/>
      <c r="V1059" s="16"/>
      <c r="W1059" s="16"/>
      <c r="X1059" s="16"/>
      <c r="Y1059" s="16"/>
      <c r="Z1059" s="16"/>
      <c r="AA1059" s="16"/>
      <c r="AB1059" s="16"/>
    </row>
    <row r="1060" spans="3:28" ht="12.75">
      <c r="C1060" s="16"/>
      <c r="D1060" s="16"/>
      <c r="E1060" s="16"/>
      <c r="F1060" s="16"/>
      <c r="G1060" s="16"/>
      <c r="H1060" s="16"/>
      <c r="I1060" s="16"/>
      <c r="J1060" s="16"/>
      <c r="K1060" s="16"/>
      <c r="L1060" s="16"/>
      <c r="M1060" s="16"/>
      <c r="N1060" s="16"/>
      <c r="O1060" s="16"/>
      <c r="P1060" s="16"/>
      <c r="Q1060" s="16"/>
      <c r="R1060" s="16"/>
      <c r="S1060" s="16"/>
      <c r="T1060" s="16"/>
      <c r="U1060" s="16"/>
      <c r="V1060" s="16"/>
      <c r="W1060" s="16"/>
      <c r="X1060" s="16"/>
      <c r="Y1060" s="16"/>
      <c r="Z1060" s="16"/>
      <c r="AA1060" s="16"/>
      <c r="AB1060" s="16"/>
    </row>
    <row r="1061" spans="3:28" ht="12.75">
      <c r="C1061" s="16"/>
      <c r="D1061" s="16"/>
      <c r="E1061" s="16"/>
      <c r="F1061" s="16"/>
      <c r="G1061" s="16"/>
      <c r="H1061" s="16"/>
      <c r="I1061" s="16"/>
      <c r="J1061" s="16"/>
      <c r="K1061" s="16"/>
      <c r="L1061" s="16"/>
      <c r="M1061" s="16"/>
      <c r="N1061" s="16"/>
      <c r="O1061" s="16"/>
      <c r="P1061" s="16"/>
      <c r="Q1061" s="16"/>
      <c r="R1061" s="16"/>
      <c r="S1061" s="16"/>
      <c r="T1061" s="16"/>
      <c r="U1061" s="16"/>
      <c r="V1061" s="16"/>
      <c r="W1061" s="16"/>
      <c r="X1061" s="16"/>
      <c r="Y1061" s="16"/>
      <c r="Z1061" s="16"/>
      <c r="AA1061" s="16"/>
      <c r="AB1061" s="16"/>
    </row>
    <row r="1062" spans="3:28" ht="12.75">
      <c r="C1062" s="16"/>
      <c r="D1062" s="16"/>
      <c r="E1062" s="16"/>
      <c r="F1062" s="16"/>
      <c r="G1062" s="16"/>
      <c r="H1062" s="16"/>
      <c r="I1062" s="16"/>
      <c r="J1062" s="16"/>
      <c r="K1062" s="16"/>
      <c r="L1062" s="16"/>
      <c r="M1062" s="16"/>
      <c r="N1062" s="16"/>
      <c r="O1062" s="16"/>
      <c r="P1062" s="16"/>
      <c r="Q1062" s="16"/>
      <c r="R1062" s="16"/>
      <c r="S1062" s="16"/>
      <c r="T1062" s="16"/>
      <c r="U1062" s="16"/>
      <c r="V1062" s="16"/>
      <c r="W1062" s="16"/>
      <c r="X1062" s="16"/>
      <c r="Y1062" s="16"/>
      <c r="Z1062" s="16"/>
      <c r="AA1062" s="16"/>
      <c r="AB1062" s="16"/>
    </row>
    <row r="1063" spans="3:28" ht="12.75">
      <c r="C1063" s="16"/>
      <c r="D1063" s="16"/>
      <c r="E1063" s="16"/>
      <c r="F1063" s="16"/>
      <c r="G1063" s="16"/>
      <c r="H1063" s="16"/>
      <c r="I1063" s="16"/>
      <c r="J1063" s="16"/>
      <c r="K1063" s="16"/>
      <c r="L1063" s="16"/>
      <c r="M1063" s="16"/>
      <c r="N1063" s="16"/>
      <c r="O1063" s="16"/>
      <c r="P1063" s="16"/>
      <c r="Q1063" s="16"/>
      <c r="R1063" s="16"/>
      <c r="S1063" s="16"/>
      <c r="T1063" s="16"/>
      <c r="U1063" s="16"/>
      <c r="V1063" s="16"/>
      <c r="W1063" s="16"/>
      <c r="X1063" s="16"/>
      <c r="Y1063" s="16"/>
      <c r="Z1063" s="16"/>
      <c r="AA1063" s="16"/>
      <c r="AB1063" s="16"/>
    </row>
    <row r="1064" spans="3:28" ht="12.75">
      <c r="C1064" s="16"/>
      <c r="D1064" s="16"/>
      <c r="E1064" s="16"/>
      <c r="F1064" s="16"/>
      <c r="G1064" s="16"/>
      <c r="H1064" s="16"/>
      <c r="I1064" s="16"/>
      <c r="J1064" s="16"/>
      <c r="K1064" s="16"/>
      <c r="L1064" s="16"/>
      <c r="M1064" s="16"/>
      <c r="N1064" s="16"/>
      <c r="O1064" s="16"/>
      <c r="P1064" s="16"/>
      <c r="Q1064" s="16"/>
      <c r="R1064" s="16"/>
      <c r="S1064" s="16"/>
      <c r="T1064" s="16"/>
      <c r="U1064" s="16"/>
      <c r="V1064" s="16"/>
      <c r="W1064" s="16"/>
      <c r="X1064" s="16"/>
      <c r="Y1064" s="16"/>
      <c r="Z1064" s="16"/>
      <c r="AA1064" s="16"/>
      <c r="AB1064" s="16"/>
    </row>
    <row r="1065" spans="3:28" ht="12.75">
      <c r="C1065" s="16"/>
      <c r="D1065" s="16"/>
      <c r="E1065" s="16"/>
      <c r="F1065" s="16"/>
      <c r="G1065" s="16"/>
      <c r="H1065" s="16"/>
      <c r="I1065" s="16"/>
      <c r="J1065" s="16"/>
      <c r="K1065" s="16"/>
      <c r="L1065" s="16"/>
      <c r="M1065" s="16"/>
      <c r="N1065" s="16"/>
      <c r="O1065" s="16"/>
      <c r="P1065" s="16"/>
      <c r="Q1065" s="16"/>
      <c r="R1065" s="16"/>
      <c r="S1065" s="16"/>
      <c r="T1065" s="16"/>
      <c r="U1065" s="16"/>
      <c r="V1065" s="16"/>
      <c r="W1065" s="16"/>
      <c r="X1065" s="16"/>
      <c r="Y1065" s="16"/>
      <c r="Z1065" s="16"/>
      <c r="AA1065" s="16"/>
      <c r="AB1065" s="16"/>
    </row>
    <row r="1066" spans="3:28" ht="12.75">
      <c r="C1066" s="16"/>
      <c r="D1066" s="16"/>
      <c r="E1066" s="16"/>
      <c r="F1066" s="16"/>
      <c r="G1066" s="16"/>
      <c r="H1066" s="16"/>
      <c r="I1066" s="16"/>
      <c r="J1066" s="16"/>
      <c r="K1066" s="16"/>
      <c r="L1066" s="16"/>
      <c r="M1066" s="16"/>
      <c r="N1066" s="16"/>
      <c r="O1066" s="16"/>
      <c r="P1066" s="16"/>
      <c r="Q1066" s="16"/>
      <c r="R1066" s="16"/>
      <c r="S1066" s="16"/>
      <c r="T1066" s="16"/>
      <c r="U1066" s="16"/>
      <c r="V1066" s="16"/>
      <c r="W1066" s="16"/>
      <c r="X1066" s="16"/>
      <c r="Y1066" s="16"/>
      <c r="Z1066" s="16"/>
      <c r="AA1066" s="16"/>
      <c r="AB1066" s="16"/>
    </row>
    <row r="1067" spans="3:28" ht="12.75">
      <c r="C1067" s="16"/>
      <c r="D1067" s="16"/>
      <c r="E1067" s="16"/>
      <c r="F1067" s="16"/>
      <c r="G1067" s="16"/>
      <c r="H1067" s="16"/>
      <c r="I1067" s="16"/>
      <c r="J1067" s="16"/>
      <c r="K1067" s="16"/>
      <c r="L1067" s="16"/>
      <c r="M1067" s="16"/>
      <c r="N1067" s="16"/>
      <c r="O1067" s="16"/>
      <c r="P1067" s="16"/>
      <c r="Q1067" s="16"/>
      <c r="R1067" s="16"/>
      <c r="S1067" s="16"/>
      <c r="T1067" s="16"/>
      <c r="U1067" s="16"/>
      <c r="V1067" s="16"/>
      <c r="W1067" s="16"/>
      <c r="X1067" s="16"/>
      <c r="Y1067" s="16"/>
      <c r="Z1067" s="16"/>
      <c r="AA1067" s="16"/>
      <c r="AB1067" s="16"/>
    </row>
    <row r="1068" spans="3:28" ht="12.75">
      <c r="C1068" s="16"/>
      <c r="D1068" s="16"/>
      <c r="E1068" s="16"/>
      <c r="F1068" s="16"/>
      <c r="G1068" s="16"/>
      <c r="H1068" s="16"/>
      <c r="I1068" s="16"/>
      <c r="J1068" s="16"/>
      <c r="K1068" s="16"/>
      <c r="L1068" s="16"/>
      <c r="M1068" s="16"/>
      <c r="N1068" s="16"/>
      <c r="O1068" s="16"/>
      <c r="P1068" s="16"/>
      <c r="Q1068" s="16"/>
      <c r="R1068" s="16"/>
      <c r="S1068" s="16"/>
      <c r="T1068" s="16"/>
      <c r="U1068" s="16"/>
      <c r="V1068" s="16"/>
      <c r="W1068" s="16"/>
      <c r="X1068" s="16"/>
      <c r="Y1068" s="16"/>
      <c r="Z1068" s="16"/>
      <c r="AA1068" s="16"/>
      <c r="AB1068" s="16"/>
    </row>
    <row r="1069" spans="3:28" ht="12.75">
      <c r="C1069" s="16"/>
      <c r="D1069" s="16"/>
      <c r="E1069" s="16"/>
      <c r="F1069" s="16"/>
      <c r="G1069" s="16"/>
      <c r="H1069" s="16"/>
      <c r="I1069" s="16"/>
      <c r="J1069" s="16"/>
      <c r="K1069" s="16"/>
      <c r="L1069" s="16"/>
      <c r="M1069" s="16"/>
      <c r="N1069" s="16"/>
      <c r="O1069" s="16"/>
      <c r="P1069" s="16"/>
      <c r="Q1069" s="16"/>
      <c r="R1069" s="16"/>
      <c r="S1069" s="16"/>
      <c r="T1069" s="16"/>
      <c r="U1069" s="16"/>
      <c r="V1069" s="16"/>
      <c r="W1069" s="16"/>
      <c r="X1069" s="16"/>
      <c r="Y1069" s="16"/>
      <c r="Z1069" s="16"/>
      <c r="AA1069" s="16"/>
      <c r="AB1069" s="16"/>
    </row>
    <row r="1070" spans="3:28" ht="12.75">
      <c r="C1070" s="16"/>
      <c r="D1070" s="16"/>
      <c r="E1070" s="16"/>
      <c r="F1070" s="16"/>
      <c r="G1070" s="16"/>
      <c r="H1070" s="16"/>
      <c r="I1070" s="16"/>
      <c r="J1070" s="16"/>
      <c r="K1070" s="16"/>
      <c r="L1070" s="16"/>
      <c r="M1070" s="16"/>
      <c r="N1070" s="16"/>
      <c r="O1070" s="16"/>
      <c r="P1070" s="16"/>
      <c r="Q1070" s="16"/>
      <c r="R1070" s="16"/>
      <c r="S1070" s="16"/>
      <c r="T1070" s="16"/>
      <c r="U1070" s="16"/>
      <c r="V1070" s="16"/>
      <c r="W1070" s="16"/>
      <c r="X1070" s="16"/>
      <c r="Y1070" s="16"/>
      <c r="Z1070" s="16"/>
      <c r="AA1070" s="16"/>
      <c r="AB1070" s="16"/>
    </row>
    <row r="1071" spans="3:28" ht="12.75">
      <c r="C1071" s="16"/>
      <c r="D1071" s="16"/>
      <c r="E1071" s="16"/>
      <c r="F1071" s="16"/>
      <c r="G1071" s="16"/>
      <c r="H1071" s="16"/>
      <c r="I1071" s="16"/>
      <c r="J1071" s="16"/>
      <c r="K1071" s="16"/>
      <c r="L1071" s="16"/>
      <c r="M1071" s="16"/>
      <c r="N1071" s="16"/>
      <c r="O1071" s="16"/>
      <c r="P1071" s="16"/>
      <c r="Q1071" s="16"/>
      <c r="R1071" s="16"/>
      <c r="S1071" s="16"/>
      <c r="T1071" s="16"/>
      <c r="U1071" s="16"/>
      <c r="V1071" s="16"/>
      <c r="W1071" s="16"/>
      <c r="X1071" s="16"/>
      <c r="Y1071" s="16"/>
      <c r="Z1071" s="16"/>
      <c r="AA1071" s="16"/>
      <c r="AB1071" s="16"/>
    </row>
    <row r="1072" spans="3:28" ht="12.75">
      <c r="C1072" s="16"/>
      <c r="D1072" s="16"/>
      <c r="E1072" s="16"/>
      <c r="F1072" s="16"/>
      <c r="G1072" s="16"/>
      <c r="H1072" s="16"/>
      <c r="I1072" s="16"/>
      <c r="J1072" s="16"/>
      <c r="K1072" s="16"/>
      <c r="L1072" s="16"/>
      <c r="M1072" s="16"/>
      <c r="N1072" s="16"/>
      <c r="O1072" s="16"/>
      <c r="P1072" s="16"/>
      <c r="Q1072" s="16"/>
      <c r="R1072" s="16"/>
      <c r="S1072" s="16"/>
      <c r="T1072" s="16"/>
      <c r="U1072" s="16"/>
      <c r="V1072" s="16"/>
      <c r="W1072" s="16"/>
      <c r="X1072" s="16"/>
      <c r="Y1072" s="16"/>
      <c r="Z1072" s="16"/>
      <c r="AA1072" s="16"/>
      <c r="AB1072" s="16"/>
    </row>
    <row r="1073" spans="3:28" ht="12.75">
      <c r="C1073" s="16"/>
      <c r="D1073" s="16"/>
      <c r="E1073" s="16"/>
      <c r="F1073" s="16"/>
      <c r="G1073" s="16"/>
      <c r="H1073" s="16"/>
      <c r="I1073" s="16"/>
      <c r="J1073" s="16"/>
      <c r="K1073" s="16"/>
      <c r="L1073" s="16"/>
      <c r="M1073" s="16"/>
      <c r="N1073" s="16"/>
      <c r="O1073" s="16"/>
      <c r="P1073" s="16"/>
      <c r="Q1073" s="16"/>
      <c r="R1073" s="16"/>
      <c r="S1073" s="16"/>
      <c r="T1073" s="16"/>
      <c r="U1073" s="16"/>
      <c r="V1073" s="16"/>
      <c r="W1073" s="16"/>
      <c r="X1073" s="16"/>
      <c r="Y1073" s="16"/>
      <c r="Z1073" s="16"/>
      <c r="AA1073" s="16"/>
      <c r="AB1073" s="16"/>
    </row>
    <row r="1074" spans="3:28" ht="12.75">
      <c r="C1074" s="16"/>
      <c r="D1074" s="16"/>
      <c r="E1074" s="16"/>
      <c r="F1074" s="16"/>
      <c r="G1074" s="16"/>
      <c r="H1074" s="16"/>
      <c r="I1074" s="16"/>
      <c r="J1074" s="16"/>
      <c r="K1074" s="16"/>
      <c r="L1074" s="16"/>
      <c r="M1074" s="16"/>
      <c r="N1074" s="16"/>
      <c r="O1074" s="16"/>
      <c r="P1074" s="16"/>
      <c r="Q1074" s="16"/>
      <c r="R1074" s="16"/>
      <c r="S1074" s="16"/>
      <c r="T1074" s="16"/>
      <c r="U1074" s="16"/>
      <c r="V1074" s="16"/>
      <c r="W1074" s="16"/>
      <c r="X1074" s="16"/>
      <c r="Y1074" s="16"/>
      <c r="Z1074" s="16"/>
      <c r="AA1074" s="16"/>
      <c r="AB1074" s="16"/>
    </row>
    <row r="1075" spans="3:28" ht="12.75">
      <c r="C1075" s="16"/>
      <c r="D1075" s="16"/>
      <c r="E1075" s="16"/>
      <c r="F1075" s="16"/>
      <c r="G1075" s="16"/>
      <c r="H1075" s="16"/>
      <c r="I1075" s="16"/>
      <c r="J1075" s="16"/>
      <c r="K1075" s="16"/>
      <c r="L1075" s="16"/>
      <c r="M1075" s="16"/>
      <c r="N1075" s="16"/>
      <c r="O1075" s="16"/>
      <c r="P1075" s="16"/>
      <c r="Q1075" s="16"/>
      <c r="R1075" s="16"/>
      <c r="S1075" s="16"/>
      <c r="T1075" s="16"/>
      <c r="U1075" s="16"/>
      <c r="V1075" s="16"/>
      <c r="W1075" s="16"/>
      <c r="X1075" s="16"/>
      <c r="Y1075" s="16"/>
      <c r="Z1075" s="16"/>
      <c r="AA1075" s="16"/>
      <c r="AB1075" s="16"/>
    </row>
    <row r="1076" spans="3:28" ht="12.75">
      <c r="C1076" s="16"/>
      <c r="D1076" s="16"/>
      <c r="E1076" s="16"/>
      <c r="F1076" s="16"/>
      <c r="G1076" s="16"/>
      <c r="H1076" s="16"/>
      <c r="I1076" s="16"/>
      <c r="J1076" s="16"/>
      <c r="K1076" s="16"/>
      <c r="L1076" s="16"/>
      <c r="M1076" s="16"/>
      <c r="N1076" s="16"/>
      <c r="O1076" s="16"/>
      <c r="P1076" s="16"/>
      <c r="Q1076" s="16"/>
      <c r="R1076" s="16"/>
      <c r="S1076" s="16"/>
      <c r="T1076" s="16"/>
      <c r="U1076" s="16"/>
      <c r="V1076" s="16"/>
      <c r="W1076" s="16"/>
      <c r="X1076" s="16"/>
      <c r="Y1076" s="16"/>
      <c r="Z1076" s="16"/>
      <c r="AA1076" s="16"/>
      <c r="AB1076" s="16"/>
    </row>
    <row r="1077" spans="3:28" ht="12.75">
      <c r="C1077" s="16"/>
      <c r="D1077" s="16"/>
      <c r="E1077" s="16"/>
      <c r="F1077" s="16"/>
      <c r="G1077" s="16"/>
      <c r="H1077" s="16"/>
      <c r="I1077" s="16"/>
      <c r="J1077" s="16"/>
      <c r="K1077" s="16"/>
      <c r="L1077" s="16"/>
      <c r="M1077" s="16"/>
      <c r="N1077" s="16"/>
      <c r="O1077" s="16"/>
      <c r="P1077" s="16"/>
      <c r="Q1077" s="16"/>
      <c r="R1077" s="16"/>
      <c r="S1077" s="16"/>
      <c r="T1077" s="16"/>
      <c r="U1077" s="16"/>
      <c r="V1077" s="16"/>
      <c r="W1077" s="16"/>
      <c r="X1077" s="16"/>
      <c r="Y1077" s="16"/>
      <c r="Z1077" s="16"/>
      <c r="AA1077" s="16"/>
      <c r="AB1077" s="16"/>
    </row>
    <row r="1078" spans="3:28" ht="12.75">
      <c r="C1078" s="16"/>
      <c r="D1078" s="16"/>
      <c r="E1078" s="16"/>
      <c r="F1078" s="16"/>
      <c r="G1078" s="16"/>
      <c r="H1078" s="16"/>
      <c r="I1078" s="16"/>
      <c r="J1078" s="16"/>
      <c r="K1078" s="16"/>
      <c r="L1078" s="16"/>
      <c r="M1078" s="16"/>
      <c r="N1078" s="16"/>
      <c r="O1078" s="16"/>
      <c r="P1078" s="16"/>
      <c r="Q1078" s="16"/>
      <c r="R1078" s="16"/>
      <c r="S1078" s="16"/>
      <c r="T1078" s="16"/>
      <c r="U1078" s="16"/>
      <c r="V1078" s="16"/>
      <c r="W1078" s="16"/>
      <c r="X1078" s="16"/>
      <c r="Y1078" s="16"/>
      <c r="Z1078" s="16"/>
      <c r="AA1078" s="16"/>
      <c r="AB1078" s="16"/>
    </row>
    <row r="1079" spans="3:28" ht="12.75">
      <c r="C1079" s="16"/>
      <c r="D1079" s="16"/>
      <c r="E1079" s="16"/>
      <c r="F1079" s="16"/>
      <c r="G1079" s="16"/>
      <c r="H1079" s="16"/>
      <c r="I1079" s="16"/>
      <c r="J1079" s="16"/>
      <c r="K1079" s="16"/>
      <c r="L1079" s="16"/>
      <c r="M1079" s="16"/>
      <c r="N1079" s="16"/>
      <c r="O1079" s="16"/>
      <c r="P1079" s="16"/>
      <c r="Q1079" s="16"/>
      <c r="R1079" s="16"/>
      <c r="S1079" s="16"/>
      <c r="T1079" s="16"/>
      <c r="U1079" s="16"/>
      <c r="V1079" s="16"/>
      <c r="W1079" s="16"/>
      <c r="X1079" s="16"/>
      <c r="Y1079" s="16"/>
      <c r="Z1079" s="16"/>
      <c r="AA1079" s="16"/>
      <c r="AB1079" s="16"/>
    </row>
    <row r="1080" spans="3:28" ht="12.75">
      <c r="C1080" s="16"/>
      <c r="D1080" s="16"/>
      <c r="E1080" s="16"/>
      <c r="F1080" s="16"/>
      <c r="G1080" s="16"/>
      <c r="H1080" s="16"/>
      <c r="I1080" s="16"/>
      <c r="J1080" s="16"/>
      <c r="K1080" s="16"/>
      <c r="L1080" s="16"/>
      <c r="M1080" s="16"/>
      <c r="N1080" s="16"/>
      <c r="O1080" s="16"/>
      <c r="P1080" s="16"/>
      <c r="Q1080" s="16"/>
      <c r="R1080" s="16"/>
      <c r="S1080" s="16"/>
      <c r="T1080" s="16"/>
      <c r="U1080" s="16"/>
      <c r="V1080" s="16"/>
      <c r="W1080" s="16"/>
      <c r="X1080" s="16"/>
      <c r="Y1080" s="16"/>
      <c r="Z1080" s="16"/>
      <c r="AA1080" s="16"/>
      <c r="AB1080" s="16"/>
    </row>
    <row r="1081" spans="3:28" ht="12.75">
      <c r="C1081" s="16"/>
      <c r="D1081" s="16"/>
      <c r="E1081" s="16"/>
      <c r="F1081" s="16"/>
      <c r="G1081" s="16"/>
      <c r="H1081" s="16"/>
      <c r="I1081" s="16"/>
      <c r="J1081" s="16"/>
      <c r="K1081" s="16"/>
      <c r="L1081" s="16"/>
      <c r="M1081" s="16"/>
      <c r="N1081" s="16"/>
      <c r="O1081" s="16"/>
      <c r="P1081" s="16"/>
      <c r="Q1081" s="16"/>
      <c r="R1081" s="16"/>
      <c r="S1081" s="16"/>
      <c r="T1081" s="16"/>
      <c r="U1081" s="16"/>
      <c r="V1081" s="16"/>
      <c r="W1081" s="16"/>
      <c r="X1081" s="16"/>
      <c r="Y1081" s="16"/>
      <c r="Z1081" s="16"/>
      <c r="AA1081" s="16"/>
      <c r="AB1081" s="16"/>
    </row>
    <row r="1082" spans="3:28" ht="12.75">
      <c r="C1082" s="16"/>
      <c r="D1082" s="16"/>
      <c r="E1082" s="16"/>
      <c r="F1082" s="16"/>
      <c r="G1082" s="16"/>
      <c r="H1082" s="16"/>
      <c r="I1082" s="16"/>
      <c r="J1082" s="16"/>
      <c r="K1082" s="16"/>
      <c r="L1082" s="16"/>
      <c r="M1082" s="16"/>
      <c r="N1082" s="16"/>
      <c r="O1082" s="16"/>
      <c r="P1082" s="16"/>
      <c r="Q1082" s="16"/>
      <c r="R1082" s="16"/>
      <c r="S1082" s="16"/>
      <c r="T1082" s="16"/>
      <c r="U1082" s="16"/>
      <c r="V1082" s="16"/>
      <c r="W1082" s="16"/>
      <c r="X1082" s="16"/>
      <c r="Y1082" s="16"/>
      <c r="Z1082" s="16"/>
      <c r="AA1082" s="16"/>
      <c r="AB1082" s="16"/>
    </row>
    <row r="1083" spans="3:28" ht="12.75">
      <c r="C1083" s="16"/>
      <c r="D1083" s="16"/>
      <c r="E1083" s="16"/>
      <c r="F1083" s="16"/>
      <c r="G1083" s="16"/>
      <c r="H1083" s="16"/>
      <c r="I1083" s="16"/>
      <c r="J1083" s="16"/>
      <c r="K1083" s="16"/>
      <c r="L1083" s="16"/>
      <c r="M1083" s="16"/>
      <c r="N1083" s="16"/>
      <c r="O1083" s="16"/>
      <c r="P1083" s="16"/>
      <c r="Q1083" s="16"/>
      <c r="R1083" s="16"/>
      <c r="S1083" s="16"/>
      <c r="T1083" s="16"/>
      <c r="U1083" s="16"/>
      <c r="V1083" s="16"/>
      <c r="W1083" s="16"/>
      <c r="X1083" s="16"/>
      <c r="Y1083" s="16"/>
      <c r="Z1083" s="16"/>
      <c r="AA1083" s="16"/>
      <c r="AB1083" s="16"/>
    </row>
    <row r="1084" spans="3:28" ht="12.75">
      <c r="C1084" s="16"/>
      <c r="D1084" s="16"/>
      <c r="E1084" s="16"/>
      <c r="F1084" s="16"/>
      <c r="G1084" s="16"/>
      <c r="H1084" s="16"/>
      <c r="I1084" s="16"/>
      <c r="J1084" s="16"/>
      <c r="K1084" s="16"/>
      <c r="L1084" s="16"/>
      <c r="M1084" s="16"/>
      <c r="N1084" s="16"/>
      <c r="O1084" s="16"/>
      <c r="P1084" s="16"/>
      <c r="Q1084" s="16"/>
      <c r="R1084" s="16"/>
      <c r="S1084" s="16"/>
      <c r="T1084" s="16"/>
      <c r="U1084" s="16"/>
      <c r="V1084" s="16"/>
      <c r="W1084" s="16"/>
      <c r="X1084" s="16"/>
      <c r="Y1084" s="16"/>
      <c r="Z1084" s="16"/>
      <c r="AA1084" s="16"/>
      <c r="AB1084" s="16"/>
    </row>
    <row r="1085" spans="3:28" ht="12.75">
      <c r="C1085" s="16"/>
      <c r="D1085" s="16"/>
      <c r="E1085" s="16"/>
      <c r="F1085" s="16"/>
      <c r="G1085" s="16"/>
      <c r="H1085" s="16"/>
      <c r="I1085" s="16"/>
      <c r="J1085" s="16"/>
      <c r="K1085" s="16"/>
      <c r="L1085" s="16"/>
      <c r="M1085" s="16"/>
      <c r="N1085" s="16"/>
      <c r="O1085" s="16"/>
      <c r="P1085" s="16"/>
      <c r="Q1085" s="16"/>
      <c r="R1085" s="16"/>
      <c r="S1085" s="16"/>
      <c r="T1085" s="16"/>
      <c r="U1085" s="16"/>
      <c r="V1085" s="16"/>
      <c r="W1085" s="16"/>
      <c r="X1085" s="16"/>
      <c r="Y1085" s="16"/>
      <c r="Z1085" s="16"/>
      <c r="AA1085" s="16"/>
      <c r="AB1085" s="16"/>
    </row>
    <row r="1086" spans="3:28" ht="12.75">
      <c r="C1086" s="16"/>
      <c r="D1086" s="16"/>
      <c r="E1086" s="16"/>
      <c r="F1086" s="16"/>
      <c r="G1086" s="16"/>
      <c r="H1086" s="16"/>
      <c r="I1086" s="16"/>
      <c r="J1086" s="16"/>
      <c r="K1086" s="16"/>
      <c r="L1086" s="16"/>
      <c r="M1086" s="16"/>
      <c r="N1086" s="16"/>
      <c r="O1086" s="16"/>
      <c r="P1086" s="16"/>
      <c r="Q1086" s="16"/>
      <c r="R1086" s="16"/>
      <c r="S1086" s="16"/>
      <c r="T1086" s="16"/>
      <c r="U1086" s="16"/>
      <c r="V1086" s="16"/>
      <c r="W1086" s="16"/>
      <c r="X1086" s="16"/>
      <c r="Y1086" s="16"/>
      <c r="Z1086" s="16"/>
      <c r="AA1086" s="16"/>
      <c r="AB1086" s="16"/>
    </row>
    <row r="1087" spans="3:28" ht="12.75">
      <c r="C1087" s="16"/>
      <c r="D1087" s="16"/>
      <c r="E1087" s="16"/>
      <c r="F1087" s="16"/>
      <c r="G1087" s="16"/>
      <c r="H1087" s="16"/>
      <c r="I1087" s="16"/>
      <c r="J1087" s="16"/>
      <c r="K1087" s="16"/>
      <c r="L1087" s="16"/>
      <c r="M1087" s="16"/>
      <c r="N1087" s="16"/>
      <c r="O1087" s="16"/>
      <c r="P1087" s="16"/>
      <c r="Q1087" s="16"/>
      <c r="R1087" s="16"/>
      <c r="S1087" s="16"/>
      <c r="T1087" s="16"/>
      <c r="U1087" s="16"/>
      <c r="V1087" s="16"/>
      <c r="W1087" s="16"/>
      <c r="X1087" s="16"/>
      <c r="Y1087" s="16"/>
      <c r="Z1087" s="16"/>
      <c r="AA1087" s="16"/>
      <c r="AB1087" s="16"/>
    </row>
    <row r="1088" spans="3:28" ht="12.75">
      <c r="C1088" s="16"/>
      <c r="D1088" s="16"/>
      <c r="E1088" s="16"/>
      <c r="F1088" s="16"/>
      <c r="G1088" s="16"/>
      <c r="H1088" s="16"/>
      <c r="I1088" s="16"/>
      <c r="J1088" s="16"/>
      <c r="K1088" s="16"/>
      <c r="L1088" s="16"/>
      <c r="M1088" s="16"/>
      <c r="N1088" s="16"/>
      <c r="O1088" s="16"/>
      <c r="P1088" s="16"/>
      <c r="Q1088" s="16"/>
      <c r="R1088" s="16"/>
      <c r="S1088" s="16"/>
      <c r="T1088" s="16"/>
      <c r="U1088" s="16"/>
      <c r="V1088" s="16"/>
      <c r="W1088" s="16"/>
      <c r="X1088" s="16"/>
      <c r="Y1088" s="16"/>
      <c r="Z1088" s="16"/>
      <c r="AA1088" s="16"/>
      <c r="AB1088" s="16"/>
    </row>
    <row r="1089" spans="3:28" ht="12.75">
      <c r="C1089" s="16"/>
      <c r="D1089" s="16"/>
      <c r="E1089" s="16"/>
      <c r="F1089" s="16"/>
      <c r="G1089" s="16"/>
      <c r="H1089" s="16"/>
      <c r="I1089" s="16"/>
      <c r="J1089" s="16"/>
      <c r="K1089" s="16"/>
      <c r="L1089" s="16"/>
      <c r="M1089" s="16"/>
      <c r="N1089" s="16"/>
      <c r="O1089" s="16"/>
      <c r="P1089" s="16"/>
      <c r="Q1089" s="16"/>
      <c r="R1089" s="16"/>
      <c r="S1089" s="16"/>
      <c r="T1089" s="16"/>
      <c r="U1089" s="16"/>
      <c r="V1089" s="16"/>
      <c r="W1089" s="16"/>
      <c r="X1089" s="16"/>
      <c r="Y1089" s="16"/>
      <c r="Z1089" s="16"/>
      <c r="AA1089" s="16"/>
      <c r="AB1089" s="16"/>
    </row>
    <row r="1090" spans="3:28" ht="12.75">
      <c r="C1090" s="16"/>
      <c r="D1090" s="16"/>
      <c r="E1090" s="16"/>
      <c r="F1090" s="16"/>
      <c r="G1090" s="16"/>
      <c r="H1090" s="16"/>
      <c r="I1090" s="16"/>
      <c r="J1090" s="16"/>
      <c r="K1090" s="16"/>
      <c r="L1090" s="16"/>
      <c r="M1090" s="16"/>
      <c r="N1090" s="16"/>
      <c r="O1090" s="16"/>
      <c r="P1090" s="16"/>
      <c r="Q1090" s="16"/>
      <c r="R1090" s="16"/>
      <c r="S1090" s="16"/>
      <c r="T1090" s="16"/>
      <c r="U1090" s="16"/>
      <c r="V1090" s="16"/>
      <c r="W1090" s="16"/>
      <c r="X1090" s="16"/>
      <c r="Y1090" s="16"/>
      <c r="Z1090" s="16"/>
      <c r="AA1090" s="16"/>
      <c r="AB1090" s="16"/>
    </row>
    <row r="1091" spans="3:28" ht="12.75">
      <c r="C1091" s="16"/>
      <c r="D1091" s="16"/>
      <c r="E1091" s="16"/>
      <c r="F1091" s="16"/>
      <c r="G1091" s="16"/>
      <c r="H1091" s="16"/>
      <c r="I1091" s="16"/>
      <c r="J1091" s="16"/>
      <c r="K1091" s="16"/>
      <c r="L1091" s="16"/>
      <c r="M1091" s="16"/>
      <c r="N1091" s="16"/>
      <c r="O1091" s="16"/>
      <c r="P1091" s="16"/>
      <c r="Q1091" s="16"/>
      <c r="R1091" s="16"/>
      <c r="S1091" s="16"/>
      <c r="T1091" s="16"/>
      <c r="U1091" s="16"/>
      <c r="V1091" s="16"/>
      <c r="W1091" s="16"/>
      <c r="X1091" s="16"/>
      <c r="Y1091" s="16"/>
      <c r="Z1091" s="16"/>
      <c r="AA1091" s="16"/>
      <c r="AB1091" s="16"/>
    </row>
    <row r="1092" spans="3:28" ht="12.75">
      <c r="C1092" s="16"/>
      <c r="D1092" s="16"/>
      <c r="E1092" s="16"/>
      <c r="F1092" s="16"/>
      <c r="G1092" s="16"/>
      <c r="H1092" s="16"/>
      <c r="I1092" s="16"/>
      <c r="J1092" s="16"/>
      <c r="K1092" s="16"/>
      <c r="L1092" s="16"/>
      <c r="M1092" s="16"/>
      <c r="N1092" s="16"/>
      <c r="O1092" s="16"/>
      <c r="P1092" s="16"/>
      <c r="Q1092" s="16"/>
      <c r="R1092" s="16"/>
      <c r="S1092" s="16"/>
      <c r="T1092" s="16"/>
      <c r="U1092" s="16"/>
      <c r="V1092" s="16"/>
      <c r="W1092" s="16"/>
      <c r="X1092" s="16"/>
      <c r="Y1092" s="16"/>
      <c r="Z1092" s="16"/>
      <c r="AA1092" s="16"/>
      <c r="AB1092" s="16"/>
    </row>
    <row r="1093" spans="3:28" ht="12.75">
      <c r="C1093" s="16"/>
      <c r="D1093" s="16"/>
      <c r="E1093" s="16"/>
      <c r="F1093" s="16"/>
      <c r="G1093" s="16"/>
      <c r="H1093" s="16"/>
      <c r="I1093" s="16"/>
      <c r="J1093" s="16"/>
      <c r="K1093" s="16"/>
      <c r="L1093" s="16"/>
      <c r="M1093" s="16"/>
      <c r="N1093" s="16"/>
      <c r="O1093" s="16"/>
      <c r="P1093" s="16"/>
      <c r="Q1093" s="16"/>
      <c r="R1093" s="16"/>
      <c r="S1093" s="16"/>
      <c r="T1093" s="16"/>
      <c r="U1093" s="16"/>
      <c r="V1093" s="16"/>
      <c r="W1093" s="16"/>
      <c r="X1093" s="16"/>
      <c r="Y1093" s="16"/>
      <c r="Z1093" s="16"/>
      <c r="AA1093" s="16"/>
      <c r="AB1093" s="16"/>
    </row>
    <row r="1094" spans="3:28" ht="12.75">
      <c r="C1094" s="16"/>
      <c r="D1094" s="16"/>
      <c r="E1094" s="16"/>
      <c r="F1094" s="16"/>
      <c r="G1094" s="16"/>
      <c r="H1094" s="16"/>
      <c r="I1094" s="16"/>
      <c r="J1094" s="16"/>
      <c r="K1094" s="16"/>
      <c r="L1094" s="16"/>
      <c r="M1094" s="16"/>
      <c r="N1094" s="16"/>
      <c r="O1094" s="16"/>
      <c r="P1094" s="16"/>
      <c r="Q1094" s="16"/>
      <c r="R1094" s="16"/>
      <c r="S1094" s="16"/>
      <c r="T1094" s="16"/>
      <c r="U1094" s="16"/>
      <c r="V1094" s="16"/>
      <c r="W1094" s="16"/>
      <c r="X1094" s="16"/>
      <c r="Y1094" s="16"/>
      <c r="Z1094" s="16"/>
      <c r="AA1094" s="16"/>
      <c r="AB1094" s="16"/>
    </row>
    <row r="1095" spans="3:28" ht="12.75">
      <c r="C1095" s="16"/>
      <c r="D1095" s="16"/>
      <c r="E1095" s="16"/>
      <c r="F1095" s="16"/>
      <c r="G1095" s="16"/>
      <c r="H1095" s="16"/>
      <c r="I1095" s="16"/>
      <c r="J1095" s="16"/>
      <c r="K1095" s="16"/>
      <c r="L1095" s="16"/>
      <c r="M1095" s="16"/>
      <c r="N1095" s="16"/>
      <c r="O1095" s="16"/>
      <c r="P1095" s="16"/>
      <c r="Q1095" s="16"/>
      <c r="R1095" s="16"/>
      <c r="S1095" s="16"/>
      <c r="T1095" s="16"/>
      <c r="U1095" s="16"/>
      <c r="V1095" s="16"/>
      <c r="W1095" s="16"/>
      <c r="X1095" s="16"/>
      <c r="Y1095" s="16"/>
      <c r="Z1095" s="16"/>
      <c r="AA1095" s="16"/>
      <c r="AB1095" s="16"/>
    </row>
    <row r="1096" spans="3:28" ht="12.75">
      <c r="C1096" s="16"/>
      <c r="D1096" s="16"/>
      <c r="E1096" s="16"/>
      <c r="F1096" s="16"/>
      <c r="G1096" s="16"/>
      <c r="H1096" s="16"/>
      <c r="I1096" s="16"/>
      <c r="J1096" s="16"/>
      <c r="K1096" s="16"/>
      <c r="L1096" s="16"/>
      <c r="M1096" s="16"/>
      <c r="N1096" s="16"/>
      <c r="O1096" s="16"/>
      <c r="P1096" s="16"/>
      <c r="Q1096" s="16"/>
      <c r="R1096" s="16"/>
      <c r="S1096" s="16"/>
      <c r="T1096" s="16"/>
      <c r="U1096" s="16"/>
      <c r="V1096" s="16"/>
      <c r="W1096" s="16"/>
      <c r="X1096" s="16"/>
      <c r="Y1096" s="16"/>
      <c r="Z1096" s="16"/>
      <c r="AA1096" s="16"/>
      <c r="AB1096" s="16"/>
    </row>
    <row r="1097" spans="3:28" ht="12.75">
      <c r="C1097" s="16"/>
      <c r="D1097" s="16"/>
      <c r="E1097" s="16"/>
      <c r="F1097" s="16"/>
      <c r="G1097" s="16"/>
      <c r="H1097" s="16"/>
      <c r="I1097" s="16"/>
      <c r="J1097" s="16"/>
      <c r="K1097" s="16"/>
      <c r="L1097" s="16"/>
      <c r="M1097" s="16"/>
      <c r="N1097" s="16"/>
      <c r="O1097" s="16"/>
      <c r="P1097" s="16"/>
      <c r="Q1097" s="16"/>
      <c r="R1097" s="16"/>
      <c r="S1097" s="16"/>
      <c r="T1097" s="16"/>
      <c r="U1097" s="16"/>
      <c r="V1097" s="16"/>
      <c r="W1097" s="16"/>
      <c r="X1097" s="16"/>
      <c r="Y1097" s="16"/>
      <c r="Z1097" s="16"/>
      <c r="AA1097" s="16"/>
      <c r="AB1097" s="16"/>
    </row>
    <row r="1098" spans="3:28" ht="12.75">
      <c r="C1098" s="16"/>
      <c r="D1098" s="16"/>
      <c r="E1098" s="16"/>
      <c r="F1098" s="16"/>
      <c r="G1098" s="16"/>
      <c r="H1098" s="16"/>
      <c r="I1098" s="16"/>
      <c r="J1098" s="16"/>
      <c r="K1098" s="16"/>
      <c r="L1098" s="16"/>
      <c r="M1098" s="16"/>
      <c r="N1098" s="16"/>
      <c r="O1098" s="16"/>
      <c r="P1098" s="16"/>
      <c r="Q1098" s="16"/>
      <c r="R1098" s="16"/>
      <c r="S1098" s="16"/>
      <c r="T1098" s="16"/>
      <c r="U1098" s="16"/>
      <c r="V1098" s="16"/>
      <c r="W1098" s="16"/>
      <c r="X1098" s="16"/>
      <c r="Y1098" s="16"/>
      <c r="Z1098" s="16"/>
      <c r="AA1098" s="16"/>
      <c r="AB1098" s="16"/>
    </row>
    <row r="1099" spans="3:28" ht="12.75">
      <c r="C1099" s="16"/>
      <c r="D1099" s="16"/>
      <c r="E1099" s="16"/>
      <c r="F1099" s="16"/>
      <c r="G1099" s="16"/>
      <c r="H1099" s="16"/>
      <c r="I1099" s="16"/>
      <c r="J1099" s="16"/>
      <c r="K1099" s="16"/>
      <c r="L1099" s="16"/>
      <c r="M1099" s="16"/>
      <c r="N1099" s="16"/>
      <c r="O1099" s="16"/>
      <c r="P1099" s="16"/>
      <c r="Q1099" s="16"/>
      <c r="R1099" s="16"/>
      <c r="S1099" s="16"/>
      <c r="T1099" s="16"/>
      <c r="U1099" s="16"/>
      <c r="V1099" s="16"/>
      <c r="W1099" s="16"/>
      <c r="X1099" s="16"/>
      <c r="Y1099" s="16"/>
      <c r="Z1099" s="16"/>
      <c r="AA1099" s="16"/>
      <c r="AB1099" s="16"/>
    </row>
    <row r="1100" spans="3:28" ht="12.75">
      <c r="C1100" s="16"/>
      <c r="D1100" s="16"/>
      <c r="E1100" s="16"/>
      <c r="F1100" s="16"/>
      <c r="G1100" s="16"/>
      <c r="H1100" s="16"/>
      <c r="I1100" s="16"/>
      <c r="J1100" s="16"/>
      <c r="K1100" s="16"/>
      <c r="L1100" s="16"/>
      <c r="M1100" s="16"/>
      <c r="N1100" s="16"/>
      <c r="O1100" s="16"/>
      <c r="P1100" s="16"/>
      <c r="Q1100" s="16"/>
      <c r="R1100" s="16"/>
      <c r="S1100" s="16"/>
      <c r="T1100" s="16"/>
      <c r="U1100" s="16"/>
      <c r="V1100" s="16"/>
      <c r="W1100" s="16"/>
      <c r="X1100" s="16"/>
      <c r="Y1100" s="16"/>
      <c r="Z1100" s="16"/>
      <c r="AA1100" s="16"/>
      <c r="AB1100" s="16"/>
    </row>
    <row r="1101" spans="3:28" ht="12.75">
      <c r="C1101" s="16"/>
      <c r="D1101" s="16"/>
      <c r="E1101" s="16"/>
      <c r="F1101" s="16"/>
      <c r="G1101" s="16"/>
      <c r="H1101" s="16"/>
      <c r="I1101" s="16"/>
      <c r="J1101" s="16"/>
      <c r="K1101" s="16"/>
      <c r="L1101" s="16"/>
      <c r="M1101" s="16"/>
      <c r="N1101" s="16"/>
      <c r="O1101" s="16"/>
      <c r="P1101" s="16"/>
      <c r="Q1101" s="16"/>
      <c r="R1101" s="16"/>
      <c r="S1101" s="16"/>
      <c r="T1101" s="16"/>
      <c r="U1101" s="16"/>
      <c r="V1101" s="16"/>
      <c r="W1101" s="16"/>
      <c r="X1101" s="16"/>
      <c r="Y1101" s="16"/>
      <c r="Z1101" s="16"/>
      <c r="AA1101" s="16"/>
      <c r="AB1101" s="16"/>
    </row>
    <row r="1102" spans="3:28" ht="12.75">
      <c r="C1102" s="16"/>
      <c r="D1102" s="16"/>
      <c r="E1102" s="16"/>
      <c r="F1102" s="16"/>
      <c r="G1102" s="16"/>
      <c r="H1102" s="16"/>
      <c r="I1102" s="16"/>
      <c r="J1102" s="16"/>
      <c r="K1102" s="16"/>
      <c r="L1102" s="16"/>
      <c r="M1102" s="16"/>
      <c r="N1102" s="16"/>
      <c r="O1102" s="16"/>
      <c r="P1102" s="16"/>
      <c r="Q1102" s="16"/>
      <c r="R1102" s="16"/>
      <c r="S1102" s="16"/>
      <c r="T1102" s="16"/>
      <c r="U1102" s="16"/>
      <c r="V1102" s="16"/>
      <c r="W1102" s="16"/>
      <c r="X1102" s="16"/>
      <c r="Y1102" s="16"/>
      <c r="Z1102" s="16"/>
      <c r="AA1102" s="16"/>
      <c r="AB1102" s="16"/>
    </row>
    <row r="1103" spans="3:28" ht="12.75">
      <c r="C1103" s="16"/>
      <c r="D1103" s="16"/>
      <c r="E1103" s="16"/>
      <c r="F1103" s="16"/>
      <c r="G1103" s="16"/>
      <c r="H1103" s="16"/>
      <c r="I1103" s="16"/>
      <c r="J1103" s="16"/>
      <c r="K1103" s="16"/>
      <c r="L1103" s="16"/>
      <c r="M1103" s="16"/>
      <c r="N1103" s="16"/>
      <c r="O1103" s="16"/>
      <c r="P1103" s="16"/>
      <c r="Q1103" s="16"/>
      <c r="R1103" s="16"/>
      <c r="S1103" s="16"/>
      <c r="T1103" s="16"/>
      <c r="U1103" s="16"/>
      <c r="V1103" s="16"/>
      <c r="W1103" s="16"/>
      <c r="X1103" s="16"/>
      <c r="Y1103" s="16"/>
      <c r="Z1103" s="16"/>
      <c r="AA1103" s="16"/>
      <c r="AB1103" s="16"/>
    </row>
    <row r="1104" spans="3:28" ht="12.75">
      <c r="C1104" s="16"/>
      <c r="D1104" s="16"/>
      <c r="E1104" s="16"/>
      <c r="F1104" s="16"/>
      <c r="G1104" s="16"/>
      <c r="H1104" s="16"/>
      <c r="I1104" s="16"/>
      <c r="J1104" s="16"/>
      <c r="K1104" s="16"/>
      <c r="L1104" s="16"/>
      <c r="M1104" s="16"/>
      <c r="N1104" s="16"/>
      <c r="O1104" s="16"/>
      <c r="P1104" s="16"/>
      <c r="Q1104" s="16"/>
      <c r="R1104" s="16"/>
      <c r="S1104" s="16"/>
      <c r="T1104" s="16"/>
      <c r="U1104" s="16"/>
      <c r="V1104" s="16"/>
      <c r="W1104" s="16"/>
      <c r="X1104" s="16"/>
      <c r="Y1104" s="16"/>
      <c r="Z1104" s="16"/>
      <c r="AA1104" s="16"/>
      <c r="AB1104" s="16"/>
    </row>
    <row r="1105" spans="3:28" ht="12.75">
      <c r="C1105" s="16"/>
      <c r="D1105" s="16"/>
      <c r="E1105" s="16"/>
      <c r="F1105" s="16"/>
      <c r="G1105" s="16"/>
      <c r="H1105" s="16"/>
      <c r="I1105" s="16"/>
      <c r="J1105" s="16"/>
      <c r="K1105" s="16"/>
      <c r="L1105" s="16"/>
      <c r="M1105" s="16"/>
      <c r="N1105" s="16"/>
      <c r="O1105" s="16"/>
      <c r="P1105" s="16"/>
      <c r="Q1105" s="16"/>
      <c r="R1105" s="16"/>
      <c r="S1105" s="16"/>
      <c r="T1105" s="16"/>
      <c r="U1105" s="16"/>
      <c r="V1105" s="16"/>
      <c r="W1105" s="16"/>
      <c r="X1105" s="16"/>
      <c r="Y1105" s="16"/>
      <c r="Z1105" s="16"/>
      <c r="AA1105" s="16"/>
      <c r="AB1105" s="16"/>
    </row>
    <row r="1106" spans="3:28" ht="12.75">
      <c r="C1106" s="16"/>
      <c r="D1106" s="16"/>
      <c r="E1106" s="16"/>
      <c r="F1106" s="16"/>
      <c r="G1106" s="16"/>
      <c r="H1106" s="16"/>
      <c r="I1106" s="16"/>
      <c r="J1106" s="16"/>
      <c r="K1106" s="16"/>
      <c r="L1106" s="16"/>
      <c r="M1106" s="16"/>
      <c r="N1106" s="16"/>
      <c r="O1106" s="16"/>
      <c r="P1106" s="16"/>
      <c r="Q1106" s="16"/>
      <c r="R1106" s="16"/>
      <c r="S1106" s="16"/>
      <c r="T1106" s="16"/>
      <c r="U1106" s="16"/>
      <c r="V1106" s="16"/>
      <c r="W1106" s="16"/>
      <c r="X1106" s="16"/>
      <c r="Y1106" s="16"/>
      <c r="Z1106" s="16"/>
      <c r="AA1106" s="16"/>
      <c r="AB1106" s="16"/>
    </row>
    <row r="1107" spans="3:28" ht="12.75">
      <c r="C1107" s="16"/>
      <c r="D1107" s="16"/>
      <c r="E1107" s="16"/>
      <c r="F1107" s="16"/>
      <c r="G1107" s="16"/>
      <c r="H1107" s="16"/>
      <c r="I1107" s="16"/>
      <c r="J1107" s="16"/>
      <c r="K1107" s="16"/>
      <c r="L1107" s="16"/>
      <c r="M1107" s="16"/>
      <c r="N1107" s="16"/>
      <c r="O1107" s="16"/>
      <c r="P1107" s="16"/>
      <c r="Q1107" s="16"/>
      <c r="R1107" s="16"/>
      <c r="S1107" s="16"/>
      <c r="T1107" s="16"/>
      <c r="U1107" s="16"/>
      <c r="V1107" s="16"/>
      <c r="W1107" s="16"/>
      <c r="X1107" s="16"/>
      <c r="Y1107" s="16"/>
      <c r="Z1107" s="16"/>
      <c r="AA1107" s="16"/>
      <c r="AB1107" s="16"/>
    </row>
    <row r="1108" spans="3:28" ht="12.75">
      <c r="C1108" s="16"/>
      <c r="D1108" s="16"/>
      <c r="E1108" s="16"/>
      <c r="F1108" s="16"/>
      <c r="G1108" s="16"/>
      <c r="H1108" s="16"/>
      <c r="I1108" s="16"/>
      <c r="J1108" s="16"/>
      <c r="K1108" s="16"/>
      <c r="L1108" s="16"/>
      <c r="M1108" s="16"/>
      <c r="N1108" s="16"/>
      <c r="O1108" s="16"/>
      <c r="P1108" s="16"/>
      <c r="Q1108" s="16"/>
      <c r="R1108" s="16"/>
      <c r="S1108" s="16"/>
      <c r="T1108" s="16"/>
      <c r="U1108" s="16"/>
      <c r="V1108" s="16"/>
      <c r="W1108" s="16"/>
      <c r="X1108" s="16"/>
      <c r="Y1108" s="16"/>
      <c r="Z1108" s="16"/>
      <c r="AA1108" s="16"/>
      <c r="AB1108" s="16"/>
    </row>
    <row r="1109" spans="3:28" ht="12.75">
      <c r="C1109" s="16"/>
      <c r="D1109" s="16"/>
      <c r="E1109" s="16"/>
      <c r="F1109" s="16"/>
      <c r="G1109" s="16"/>
      <c r="H1109" s="16"/>
      <c r="I1109" s="16"/>
      <c r="J1109" s="16"/>
      <c r="K1109" s="16"/>
      <c r="L1109" s="16"/>
      <c r="M1109" s="16"/>
      <c r="N1109" s="16"/>
      <c r="O1109" s="16"/>
      <c r="P1109" s="16"/>
      <c r="Q1109" s="16"/>
      <c r="R1109" s="16"/>
      <c r="S1109" s="16"/>
      <c r="T1109" s="16"/>
      <c r="U1109" s="16"/>
      <c r="V1109" s="16"/>
      <c r="W1109" s="16"/>
      <c r="X1109" s="16"/>
      <c r="Y1109" s="16"/>
      <c r="Z1109" s="16"/>
      <c r="AA1109" s="16"/>
      <c r="AB1109" s="16"/>
    </row>
    <row r="1110" spans="3:28" ht="12.75">
      <c r="C1110" s="16"/>
      <c r="D1110" s="16"/>
      <c r="E1110" s="16"/>
      <c r="F1110" s="16"/>
      <c r="G1110" s="16"/>
      <c r="H1110" s="16"/>
      <c r="I1110" s="16"/>
      <c r="J1110" s="16"/>
      <c r="K1110" s="16"/>
      <c r="L1110" s="16"/>
      <c r="M1110" s="16"/>
      <c r="N1110" s="16"/>
      <c r="O1110" s="16"/>
      <c r="P1110" s="16"/>
      <c r="Q1110" s="16"/>
      <c r="R1110" s="16"/>
      <c r="S1110" s="16"/>
      <c r="T1110" s="16"/>
      <c r="U1110" s="16"/>
      <c r="V1110" s="16"/>
      <c r="W1110" s="16"/>
      <c r="X1110" s="16"/>
      <c r="Y1110" s="16"/>
      <c r="Z1110" s="16"/>
      <c r="AA1110" s="16"/>
      <c r="AB1110" s="16"/>
    </row>
    <row r="1111" spans="3:28" ht="12.75">
      <c r="C1111" s="16"/>
      <c r="D1111" s="16"/>
      <c r="E1111" s="16"/>
      <c r="F1111" s="16"/>
      <c r="G1111" s="16"/>
      <c r="H1111" s="16"/>
      <c r="I1111" s="16"/>
      <c r="J1111" s="16"/>
      <c r="K1111" s="16"/>
      <c r="L1111" s="16"/>
      <c r="M1111" s="16"/>
      <c r="N1111" s="16"/>
      <c r="O1111" s="16"/>
      <c r="P1111" s="16"/>
      <c r="Q1111" s="16"/>
      <c r="R1111" s="16"/>
      <c r="S1111" s="16"/>
      <c r="T1111" s="16"/>
      <c r="U1111" s="16"/>
      <c r="V1111" s="16"/>
      <c r="W1111" s="16"/>
      <c r="X1111" s="16"/>
      <c r="Y1111" s="16"/>
      <c r="Z1111" s="16"/>
      <c r="AA1111" s="16"/>
      <c r="AB1111" s="16"/>
    </row>
    <row r="1112" spans="3:28" ht="12.75">
      <c r="C1112" s="16"/>
      <c r="D1112" s="16"/>
      <c r="E1112" s="16"/>
      <c r="F1112" s="16"/>
      <c r="G1112" s="16"/>
      <c r="H1112" s="16"/>
      <c r="I1112" s="16"/>
      <c r="J1112" s="16"/>
      <c r="K1112" s="16"/>
      <c r="L1112" s="16"/>
      <c r="M1112" s="16"/>
      <c r="N1112" s="16"/>
      <c r="O1112" s="16"/>
      <c r="P1112" s="16"/>
      <c r="Q1112" s="16"/>
      <c r="R1112" s="16"/>
      <c r="S1112" s="16"/>
      <c r="T1112" s="16"/>
      <c r="U1112" s="16"/>
      <c r="V1112" s="16"/>
      <c r="W1112" s="16"/>
      <c r="X1112" s="16"/>
      <c r="Y1112" s="16"/>
      <c r="Z1112" s="16"/>
      <c r="AA1112" s="16"/>
      <c r="AB1112" s="16"/>
    </row>
    <row r="1113" spans="3:28" ht="12.75">
      <c r="C1113" s="16"/>
      <c r="D1113" s="16"/>
      <c r="E1113" s="16"/>
      <c r="F1113" s="16"/>
      <c r="G1113" s="16"/>
      <c r="H1113" s="16"/>
      <c r="I1113" s="16"/>
      <c r="J1113" s="16"/>
      <c r="K1113" s="16"/>
      <c r="L1113" s="16"/>
      <c r="M1113" s="16"/>
      <c r="N1113" s="16"/>
      <c r="O1113" s="16"/>
      <c r="P1113" s="16"/>
      <c r="Q1113" s="16"/>
      <c r="R1113" s="16"/>
      <c r="S1113" s="16"/>
      <c r="T1113" s="16"/>
      <c r="U1113" s="16"/>
      <c r="V1113" s="16"/>
      <c r="W1113" s="16"/>
      <c r="X1113" s="16"/>
      <c r="Y1113" s="16"/>
      <c r="Z1113" s="16"/>
      <c r="AA1113" s="16"/>
      <c r="AB1113" s="16"/>
    </row>
    <row r="1114" spans="3:28" ht="12.75">
      <c r="C1114" s="16"/>
      <c r="D1114" s="16"/>
      <c r="E1114" s="16"/>
      <c r="F1114" s="16"/>
      <c r="G1114" s="16"/>
      <c r="H1114" s="16"/>
      <c r="I1114" s="16"/>
      <c r="J1114" s="16"/>
      <c r="K1114" s="16"/>
      <c r="L1114" s="16"/>
      <c r="M1114" s="16"/>
      <c r="N1114" s="16"/>
      <c r="O1114" s="16"/>
      <c r="P1114" s="16"/>
      <c r="Q1114" s="16"/>
      <c r="R1114" s="16"/>
      <c r="S1114" s="16"/>
      <c r="T1114" s="16"/>
      <c r="U1114" s="16"/>
      <c r="V1114" s="16"/>
      <c r="W1114" s="16"/>
      <c r="X1114" s="16"/>
      <c r="Y1114" s="16"/>
      <c r="Z1114" s="16"/>
      <c r="AA1114" s="16"/>
      <c r="AB1114" s="16"/>
    </row>
    <row r="1115" spans="3:28" ht="12.75">
      <c r="C1115" s="16"/>
      <c r="D1115" s="16"/>
      <c r="E1115" s="16"/>
      <c r="F1115" s="16"/>
      <c r="G1115" s="16"/>
      <c r="H1115" s="16"/>
      <c r="I1115" s="16"/>
      <c r="J1115" s="16"/>
      <c r="K1115" s="16"/>
      <c r="L1115" s="16"/>
      <c r="M1115" s="16"/>
      <c r="N1115" s="16"/>
      <c r="O1115" s="16"/>
      <c r="P1115" s="16"/>
      <c r="Q1115" s="16"/>
      <c r="R1115" s="16"/>
      <c r="S1115" s="16"/>
      <c r="T1115" s="16"/>
      <c r="U1115" s="16"/>
      <c r="V1115" s="16"/>
      <c r="W1115" s="16"/>
      <c r="X1115" s="16"/>
      <c r="Y1115" s="16"/>
      <c r="Z1115" s="16"/>
      <c r="AA1115" s="16"/>
      <c r="AB1115" s="16"/>
    </row>
    <row r="1116" spans="3:28" ht="12.75">
      <c r="C1116" s="16"/>
      <c r="D1116" s="16"/>
      <c r="E1116" s="16"/>
      <c r="F1116" s="16"/>
      <c r="G1116" s="16"/>
      <c r="H1116" s="16"/>
      <c r="I1116" s="16"/>
      <c r="J1116" s="16"/>
      <c r="K1116" s="16"/>
      <c r="L1116" s="16"/>
      <c r="M1116" s="16"/>
      <c r="N1116" s="16"/>
      <c r="O1116" s="16"/>
      <c r="P1116" s="16"/>
      <c r="Q1116" s="16"/>
      <c r="R1116" s="16"/>
      <c r="S1116" s="16"/>
      <c r="T1116" s="16"/>
      <c r="U1116" s="16"/>
      <c r="V1116" s="16"/>
      <c r="W1116" s="16"/>
      <c r="X1116" s="16"/>
      <c r="Y1116" s="16"/>
      <c r="Z1116" s="16"/>
      <c r="AA1116" s="16"/>
      <c r="AB1116" s="16"/>
    </row>
    <row r="1117" spans="3:28" ht="12.75">
      <c r="C1117" s="16"/>
      <c r="D1117" s="16"/>
      <c r="E1117" s="16"/>
      <c r="F1117" s="16"/>
      <c r="G1117" s="16"/>
      <c r="H1117" s="16"/>
      <c r="I1117" s="16"/>
      <c r="J1117" s="16"/>
      <c r="K1117" s="16"/>
      <c r="L1117" s="16"/>
      <c r="M1117" s="16"/>
      <c r="N1117" s="16"/>
      <c r="O1117" s="16"/>
      <c r="P1117" s="16"/>
      <c r="Q1117" s="16"/>
      <c r="R1117" s="16"/>
      <c r="S1117" s="16"/>
      <c r="T1117" s="16"/>
      <c r="U1117" s="16"/>
      <c r="V1117" s="16"/>
      <c r="W1117" s="16"/>
      <c r="X1117" s="16"/>
      <c r="Y1117" s="16"/>
      <c r="Z1117" s="16"/>
      <c r="AA1117" s="16"/>
      <c r="AB1117" s="16"/>
    </row>
    <row r="1118" spans="3:28" ht="12.75">
      <c r="C1118" s="16"/>
      <c r="D1118" s="16"/>
      <c r="E1118" s="16"/>
      <c r="F1118" s="16"/>
      <c r="G1118" s="16"/>
      <c r="H1118" s="16"/>
      <c r="I1118" s="16"/>
      <c r="J1118" s="16"/>
      <c r="K1118" s="16"/>
      <c r="L1118" s="16"/>
      <c r="M1118" s="16"/>
      <c r="N1118" s="16"/>
      <c r="O1118" s="16"/>
      <c r="P1118" s="16"/>
      <c r="Q1118" s="16"/>
      <c r="R1118" s="16"/>
      <c r="S1118" s="16"/>
      <c r="T1118" s="16"/>
      <c r="U1118" s="16"/>
      <c r="V1118" s="16"/>
      <c r="W1118" s="16"/>
      <c r="X1118" s="16"/>
      <c r="Y1118" s="16"/>
      <c r="Z1118" s="16"/>
      <c r="AA1118" s="16"/>
      <c r="AB1118" s="16"/>
    </row>
    <row r="1119" spans="3:28" ht="12.75">
      <c r="C1119" s="16"/>
      <c r="D1119" s="16"/>
      <c r="E1119" s="16"/>
      <c r="F1119" s="16"/>
      <c r="G1119" s="16"/>
      <c r="H1119" s="16"/>
      <c r="I1119" s="16"/>
      <c r="J1119" s="16"/>
      <c r="K1119" s="16"/>
      <c r="L1119" s="16"/>
      <c r="M1119" s="16"/>
      <c r="N1119" s="16"/>
      <c r="O1119" s="16"/>
      <c r="P1119" s="16"/>
      <c r="Q1119" s="16"/>
      <c r="R1119" s="16"/>
      <c r="S1119" s="16"/>
      <c r="T1119" s="16"/>
      <c r="U1119" s="16"/>
      <c r="V1119" s="16"/>
      <c r="W1119" s="16"/>
      <c r="X1119" s="16"/>
      <c r="Y1119" s="16"/>
      <c r="Z1119" s="16"/>
      <c r="AA1119" s="16"/>
      <c r="AB1119" s="16"/>
    </row>
    <row r="1120" spans="3:28" ht="12.75">
      <c r="C1120" s="16"/>
      <c r="D1120" s="16"/>
      <c r="E1120" s="16"/>
      <c r="F1120" s="16"/>
      <c r="G1120" s="16"/>
      <c r="H1120" s="16"/>
      <c r="I1120" s="16"/>
      <c r="J1120" s="16"/>
      <c r="K1120" s="16"/>
      <c r="L1120" s="16"/>
      <c r="M1120" s="16"/>
      <c r="N1120" s="16"/>
      <c r="O1120" s="16"/>
      <c r="P1120" s="16"/>
      <c r="Q1120" s="16"/>
      <c r="R1120" s="16"/>
      <c r="S1120" s="16"/>
      <c r="T1120" s="16"/>
      <c r="U1120" s="16"/>
      <c r="V1120" s="16"/>
      <c r="W1120" s="16"/>
      <c r="X1120" s="16"/>
      <c r="Y1120" s="16"/>
      <c r="Z1120" s="16"/>
      <c r="AA1120" s="16"/>
      <c r="AB1120" s="16"/>
    </row>
    <row r="1121" spans="3:28" ht="12.75">
      <c r="C1121" s="16"/>
      <c r="D1121" s="16"/>
      <c r="E1121" s="16"/>
      <c r="F1121" s="16"/>
      <c r="G1121" s="16"/>
      <c r="H1121" s="16"/>
      <c r="I1121" s="16"/>
      <c r="J1121" s="16"/>
      <c r="K1121" s="16"/>
      <c r="L1121" s="16"/>
      <c r="M1121" s="16"/>
      <c r="N1121" s="16"/>
      <c r="O1121" s="16"/>
      <c r="P1121" s="16"/>
      <c r="Q1121" s="16"/>
      <c r="R1121" s="16"/>
      <c r="S1121" s="16"/>
      <c r="T1121" s="16"/>
      <c r="U1121" s="16"/>
      <c r="V1121" s="16"/>
      <c r="W1121" s="16"/>
      <c r="X1121" s="16"/>
      <c r="Y1121" s="16"/>
      <c r="Z1121" s="16"/>
      <c r="AA1121" s="16"/>
      <c r="AB1121" s="16"/>
    </row>
    <row r="1122" spans="3:28" ht="12.75">
      <c r="C1122" s="16"/>
      <c r="D1122" s="16"/>
      <c r="E1122" s="16"/>
      <c r="F1122" s="16"/>
      <c r="G1122" s="16"/>
      <c r="H1122" s="16"/>
      <c r="I1122" s="16"/>
      <c r="J1122" s="16"/>
      <c r="K1122" s="16"/>
      <c r="L1122" s="16"/>
      <c r="M1122" s="16"/>
      <c r="N1122" s="16"/>
      <c r="O1122" s="16"/>
      <c r="P1122" s="16"/>
      <c r="Q1122" s="16"/>
      <c r="R1122" s="16"/>
      <c r="S1122" s="16"/>
      <c r="T1122" s="16"/>
      <c r="U1122" s="16"/>
      <c r="V1122" s="16"/>
      <c r="W1122" s="16"/>
      <c r="X1122" s="16"/>
      <c r="Y1122" s="16"/>
      <c r="Z1122" s="16"/>
      <c r="AA1122" s="16"/>
      <c r="AB1122" s="16"/>
    </row>
    <row r="1123" spans="3:28" ht="12.75">
      <c r="C1123" s="16"/>
      <c r="D1123" s="16"/>
      <c r="E1123" s="16"/>
      <c r="F1123" s="16"/>
      <c r="G1123" s="16"/>
      <c r="H1123" s="16"/>
      <c r="I1123" s="16"/>
      <c r="J1123" s="16"/>
      <c r="K1123" s="16"/>
      <c r="L1123" s="16"/>
      <c r="M1123" s="16"/>
      <c r="N1123" s="16"/>
      <c r="O1123" s="16"/>
      <c r="P1123" s="16"/>
      <c r="Q1123" s="16"/>
      <c r="R1123" s="16"/>
      <c r="S1123" s="16"/>
      <c r="T1123" s="16"/>
      <c r="U1123" s="16"/>
      <c r="V1123" s="16"/>
      <c r="W1123" s="16"/>
      <c r="X1123" s="16"/>
      <c r="Y1123" s="16"/>
      <c r="Z1123" s="16"/>
      <c r="AA1123" s="16"/>
      <c r="AB1123" s="16"/>
    </row>
    <row r="1124" spans="3:28" ht="12.75">
      <c r="C1124" s="16"/>
      <c r="D1124" s="16"/>
      <c r="E1124" s="16"/>
      <c r="F1124" s="16"/>
      <c r="G1124" s="16"/>
      <c r="H1124" s="16"/>
      <c r="I1124" s="16"/>
      <c r="J1124" s="16"/>
      <c r="K1124" s="16"/>
      <c r="L1124" s="16"/>
      <c r="M1124" s="16"/>
      <c r="N1124" s="16"/>
      <c r="O1124" s="16"/>
      <c r="P1124" s="16"/>
      <c r="Q1124" s="16"/>
      <c r="R1124" s="16"/>
      <c r="S1124" s="16"/>
      <c r="T1124" s="16"/>
      <c r="U1124" s="16"/>
      <c r="V1124" s="16"/>
      <c r="W1124" s="16"/>
      <c r="X1124" s="16"/>
      <c r="Y1124" s="16"/>
      <c r="Z1124" s="16"/>
      <c r="AA1124" s="16"/>
      <c r="AB1124" s="16"/>
    </row>
    <row r="1125" spans="3:28" ht="12.75">
      <c r="C1125" s="16"/>
      <c r="D1125" s="16"/>
      <c r="E1125" s="16"/>
      <c r="F1125" s="16"/>
      <c r="G1125" s="16"/>
      <c r="H1125" s="16"/>
      <c r="I1125" s="16"/>
      <c r="J1125" s="16"/>
      <c r="K1125" s="16"/>
      <c r="L1125" s="16"/>
      <c r="M1125" s="16"/>
      <c r="N1125" s="16"/>
      <c r="O1125" s="16"/>
      <c r="P1125" s="16"/>
      <c r="Q1125" s="16"/>
      <c r="R1125" s="16"/>
      <c r="S1125" s="16"/>
      <c r="T1125" s="16"/>
      <c r="U1125" s="16"/>
      <c r="V1125" s="16"/>
      <c r="W1125" s="16"/>
      <c r="X1125" s="16"/>
      <c r="Y1125" s="16"/>
      <c r="Z1125" s="16"/>
      <c r="AA1125" s="16"/>
      <c r="AB1125" s="16"/>
    </row>
    <row r="1126" spans="3:28" ht="12.75">
      <c r="C1126" s="16"/>
      <c r="D1126" s="16"/>
      <c r="E1126" s="16"/>
      <c r="F1126" s="16"/>
      <c r="G1126" s="16"/>
      <c r="H1126" s="16"/>
      <c r="I1126" s="16"/>
      <c r="J1126" s="16"/>
      <c r="K1126" s="16"/>
      <c r="L1126" s="16"/>
      <c r="M1126" s="16"/>
      <c r="N1126" s="16"/>
      <c r="O1126" s="16"/>
      <c r="P1126" s="16"/>
      <c r="Q1126" s="16"/>
      <c r="R1126" s="16"/>
      <c r="S1126" s="16"/>
      <c r="T1126" s="16"/>
      <c r="U1126" s="16"/>
      <c r="V1126" s="16"/>
      <c r="W1126" s="16"/>
      <c r="X1126" s="16"/>
      <c r="Y1126" s="16"/>
      <c r="Z1126" s="16"/>
      <c r="AA1126" s="16"/>
      <c r="AB1126" s="16"/>
    </row>
    <row r="1127" spans="3:28" ht="12.75">
      <c r="C1127" s="16"/>
      <c r="D1127" s="16"/>
      <c r="E1127" s="16"/>
      <c r="F1127" s="16"/>
      <c r="G1127" s="16"/>
      <c r="H1127" s="16"/>
      <c r="I1127" s="16"/>
      <c r="J1127" s="16"/>
      <c r="K1127" s="16"/>
      <c r="L1127" s="16"/>
      <c r="M1127" s="16"/>
      <c r="N1127" s="16"/>
      <c r="O1127" s="16"/>
      <c r="P1127" s="16"/>
      <c r="Q1127" s="16"/>
      <c r="R1127" s="16"/>
      <c r="S1127" s="16"/>
      <c r="T1127" s="16"/>
      <c r="U1127" s="16"/>
      <c r="V1127" s="16"/>
      <c r="W1127" s="16"/>
      <c r="X1127" s="16"/>
      <c r="Y1127" s="16"/>
      <c r="Z1127" s="16"/>
      <c r="AA1127" s="16"/>
      <c r="AB1127" s="16"/>
    </row>
    <row r="1128" spans="3:28" ht="12.75">
      <c r="C1128" s="16"/>
      <c r="D1128" s="16"/>
      <c r="E1128" s="16"/>
      <c r="F1128" s="16"/>
      <c r="G1128" s="16"/>
      <c r="H1128" s="16"/>
      <c r="I1128" s="16"/>
      <c r="J1128" s="16"/>
      <c r="K1128" s="16"/>
      <c r="L1128" s="16"/>
      <c r="M1128" s="16"/>
      <c r="N1128" s="16"/>
      <c r="O1128" s="16"/>
      <c r="P1128" s="16"/>
      <c r="Q1128" s="16"/>
      <c r="R1128" s="16"/>
      <c r="S1128" s="16"/>
      <c r="T1128" s="16"/>
      <c r="U1128" s="16"/>
      <c r="V1128" s="16"/>
      <c r="W1128" s="16"/>
      <c r="X1128" s="16"/>
      <c r="Y1128" s="16"/>
      <c r="Z1128" s="16"/>
      <c r="AA1128" s="16"/>
      <c r="AB1128" s="16"/>
    </row>
    <row r="1129" spans="3:28" ht="12.75">
      <c r="C1129" s="16"/>
      <c r="D1129" s="16"/>
      <c r="E1129" s="16"/>
      <c r="F1129" s="16"/>
      <c r="G1129" s="16"/>
      <c r="H1129" s="16"/>
      <c r="I1129" s="16"/>
      <c r="J1129" s="16"/>
      <c r="K1129" s="16"/>
      <c r="L1129" s="16"/>
      <c r="M1129" s="16"/>
      <c r="N1129" s="16"/>
      <c r="O1129" s="16"/>
      <c r="P1129" s="16"/>
      <c r="Q1129" s="16"/>
      <c r="R1129" s="16"/>
      <c r="S1129" s="16"/>
      <c r="T1129" s="16"/>
      <c r="U1129" s="16"/>
      <c r="V1129" s="16"/>
      <c r="W1129" s="16"/>
      <c r="X1129" s="16"/>
      <c r="Y1129" s="16"/>
      <c r="Z1129" s="16"/>
      <c r="AA1129" s="16"/>
      <c r="AB1129" s="16"/>
    </row>
    <row r="1130" spans="3:28" ht="12.75">
      <c r="C1130" s="16"/>
      <c r="D1130" s="16"/>
      <c r="E1130" s="16"/>
      <c r="F1130" s="16"/>
      <c r="G1130" s="16"/>
      <c r="H1130" s="16"/>
      <c r="I1130" s="16"/>
      <c r="J1130" s="16"/>
      <c r="K1130" s="16"/>
      <c r="L1130" s="16"/>
      <c r="M1130" s="16"/>
      <c r="N1130" s="16"/>
      <c r="O1130" s="16"/>
      <c r="P1130" s="16"/>
      <c r="Q1130" s="16"/>
      <c r="R1130" s="16"/>
      <c r="S1130" s="16"/>
      <c r="T1130" s="16"/>
      <c r="U1130" s="16"/>
      <c r="V1130" s="16"/>
      <c r="W1130" s="16"/>
      <c r="X1130" s="16"/>
      <c r="Y1130" s="16"/>
      <c r="Z1130" s="16"/>
      <c r="AA1130" s="16"/>
      <c r="AB1130" s="16"/>
    </row>
    <row r="1131" spans="3:28" ht="12.75">
      <c r="C1131" s="16"/>
      <c r="D1131" s="16"/>
      <c r="E1131" s="16"/>
      <c r="F1131" s="16"/>
      <c r="G1131" s="16"/>
      <c r="H1131" s="16"/>
      <c r="I1131" s="16"/>
      <c r="J1131" s="16"/>
      <c r="K1131" s="16"/>
      <c r="L1131" s="16"/>
      <c r="M1131" s="16"/>
      <c r="N1131" s="16"/>
      <c r="O1131" s="16"/>
      <c r="P1131" s="16"/>
      <c r="Q1131" s="16"/>
      <c r="R1131" s="16"/>
      <c r="S1131" s="16"/>
      <c r="T1131" s="16"/>
      <c r="U1131" s="16"/>
      <c r="V1131" s="16"/>
      <c r="W1131" s="16"/>
      <c r="X1131" s="16"/>
      <c r="Y1131" s="16"/>
      <c r="Z1131" s="16"/>
      <c r="AA1131" s="16"/>
      <c r="AB1131" s="16"/>
    </row>
    <row r="1132" spans="3:28" ht="12.75">
      <c r="C1132" s="16"/>
      <c r="D1132" s="16"/>
      <c r="E1132" s="16"/>
      <c r="F1132" s="16"/>
      <c r="G1132" s="16"/>
      <c r="H1132" s="16"/>
      <c r="I1132" s="16"/>
      <c r="J1132" s="16"/>
      <c r="K1132" s="16"/>
      <c r="L1132" s="16"/>
      <c r="M1132" s="16"/>
      <c r="N1132" s="16"/>
      <c r="O1132" s="16"/>
      <c r="P1132" s="16"/>
      <c r="Q1132" s="16"/>
      <c r="R1132" s="16"/>
      <c r="S1132" s="16"/>
      <c r="T1132" s="16"/>
      <c r="U1132" s="16"/>
      <c r="V1132" s="16"/>
      <c r="W1132" s="16"/>
      <c r="X1132" s="16"/>
      <c r="Y1132" s="16"/>
      <c r="Z1132" s="16"/>
      <c r="AA1132" s="16"/>
      <c r="AB1132" s="16"/>
    </row>
    <row r="1133" spans="3:28" ht="12.75">
      <c r="C1133" s="16"/>
      <c r="D1133" s="16"/>
      <c r="E1133" s="16"/>
      <c r="F1133" s="16"/>
      <c r="G1133" s="16"/>
      <c r="H1133" s="16"/>
      <c r="I1133" s="16"/>
      <c r="J1133" s="16"/>
      <c r="K1133" s="16"/>
      <c r="L1133" s="16"/>
      <c r="M1133" s="16"/>
      <c r="N1133" s="16"/>
      <c r="O1133" s="16"/>
      <c r="P1133" s="16"/>
      <c r="Q1133" s="16"/>
      <c r="R1133" s="16"/>
      <c r="S1133" s="16"/>
      <c r="T1133" s="16"/>
      <c r="U1133" s="16"/>
      <c r="V1133" s="16"/>
      <c r="W1133" s="16"/>
      <c r="X1133" s="16"/>
      <c r="Y1133" s="16"/>
      <c r="Z1133" s="16"/>
      <c r="AA1133" s="16"/>
      <c r="AB1133" s="16"/>
    </row>
    <row r="1134" spans="3:28" ht="12.75">
      <c r="C1134" s="16"/>
      <c r="D1134" s="16"/>
      <c r="E1134" s="16"/>
      <c r="F1134" s="16"/>
      <c r="G1134" s="16"/>
      <c r="H1134" s="16"/>
      <c r="I1134" s="16"/>
      <c r="J1134" s="16"/>
      <c r="K1134" s="16"/>
      <c r="L1134" s="16"/>
      <c r="M1134" s="16"/>
      <c r="N1134" s="16"/>
      <c r="O1134" s="16"/>
      <c r="P1134" s="16"/>
      <c r="Q1134" s="16"/>
      <c r="R1134" s="16"/>
      <c r="S1134" s="16"/>
      <c r="T1134" s="16"/>
      <c r="U1134" s="16"/>
      <c r="V1134" s="16"/>
      <c r="W1134" s="16"/>
      <c r="X1134" s="16"/>
      <c r="Y1134" s="16"/>
      <c r="Z1134" s="16"/>
      <c r="AA1134" s="16"/>
      <c r="AB1134" s="16"/>
    </row>
    <row r="1135" spans="3:28" ht="12.75">
      <c r="C1135" s="16"/>
      <c r="D1135" s="16"/>
      <c r="E1135" s="16"/>
      <c r="F1135" s="16"/>
      <c r="G1135" s="16"/>
      <c r="H1135" s="16"/>
      <c r="I1135" s="16"/>
      <c r="J1135" s="16"/>
      <c r="K1135" s="16"/>
      <c r="L1135" s="16"/>
      <c r="M1135" s="16"/>
      <c r="N1135" s="16"/>
      <c r="O1135" s="16"/>
      <c r="P1135" s="16"/>
      <c r="Q1135" s="16"/>
      <c r="R1135" s="16"/>
      <c r="S1135" s="16"/>
      <c r="T1135" s="16"/>
      <c r="U1135" s="16"/>
      <c r="V1135" s="16"/>
      <c r="W1135" s="16"/>
      <c r="X1135" s="16"/>
      <c r="Y1135" s="16"/>
      <c r="Z1135" s="16"/>
      <c r="AA1135" s="16"/>
      <c r="AB1135" s="16"/>
    </row>
    <row r="1136" spans="3:28" ht="12.75">
      <c r="C1136" s="16"/>
      <c r="D1136" s="16"/>
      <c r="E1136" s="16"/>
      <c r="F1136" s="16"/>
      <c r="G1136" s="16"/>
      <c r="H1136" s="16"/>
      <c r="I1136" s="16"/>
      <c r="J1136" s="16"/>
      <c r="K1136" s="16"/>
      <c r="L1136" s="16"/>
      <c r="M1136" s="16"/>
      <c r="N1136" s="16"/>
      <c r="O1136" s="16"/>
      <c r="P1136" s="16"/>
      <c r="Q1136" s="16"/>
      <c r="R1136" s="16"/>
      <c r="S1136" s="16"/>
      <c r="T1136" s="16"/>
      <c r="U1136" s="16"/>
      <c r="V1136" s="16"/>
      <c r="W1136" s="16"/>
      <c r="X1136" s="16"/>
      <c r="Y1136" s="16"/>
      <c r="Z1136" s="16"/>
      <c r="AA1136" s="16"/>
      <c r="AB1136" s="16"/>
    </row>
    <row r="1137" spans="3:28" ht="12.75">
      <c r="C1137" s="16"/>
      <c r="D1137" s="16"/>
      <c r="E1137" s="16"/>
      <c r="F1137" s="16"/>
      <c r="G1137" s="16"/>
      <c r="H1137" s="16"/>
      <c r="I1137" s="16"/>
      <c r="J1137" s="16"/>
      <c r="K1137" s="16"/>
      <c r="L1137" s="16"/>
      <c r="M1137" s="16"/>
      <c r="N1137" s="16"/>
      <c r="O1137" s="16"/>
      <c r="P1137" s="16"/>
      <c r="Q1137" s="16"/>
      <c r="R1137" s="16"/>
      <c r="S1137" s="16"/>
      <c r="T1137" s="16"/>
      <c r="U1137" s="16"/>
      <c r="V1137" s="16"/>
      <c r="W1137" s="16"/>
      <c r="X1137" s="16"/>
      <c r="Y1137" s="16"/>
      <c r="Z1137" s="16"/>
      <c r="AA1137" s="16"/>
      <c r="AB1137" s="16"/>
    </row>
    <row r="1138" spans="3:28" ht="12.75">
      <c r="C1138" s="16"/>
      <c r="D1138" s="16"/>
      <c r="E1138" s="16"/>
      <c r="F1138" s="16"/>
      <c r="G1138" s="16"/>
      <c r="H1138" s="16"/>
      <c r="I1138" s="16"/>
      <c r="J1138" s="16"/>
      <c r="K1138" s="16"/>
      <c r="L1138" s="16"/>
      <c r="M1138" s="16"/>
      <c r="N1138" s="16"/>
      <c r="O1138" s="16"/>
      <c r="P1138" s="16"/>
      <c r="Q1138" s="16"/>
      <c r="R1138" s="16"/>
      <c r="S1138" s="16"/>
      <c r="T1138" s="16"/>
      <c r="U1138" s="16"/>
      <c r="V1138" s="16"/>
      <c r="W1138" s="16"/>
      <c r="X1138" s="16"/>
      <c r="Y1138" s="16"/>
      <c r="Z1138" s="16"/>
      <c r="AA1138" s="16"/>
      <c r="AB1138" s="16"/>
    </row>
    <row r="1139" spans="3:28" ht="12.75">
      <c r="C1139" s="16"/>
      <c r="D1139" s="16"/>
      <c r="E1139" s="16"/>
      <c r="F1139" s="16"/>
      <c r="G1139" s="16"/>
      <c r="H1139" s="16"/>
      <c r="I1139" s="16"/>
      <c r="J1139" s="16"/>
      <c r="K1139" s="16"/>
      <c r="L1139" s="16"/>
      <c r="M1139" s="16"/>
      <c r="N1139" s="16"/>
      <c r="O1139" s="16"/>
      <c r="P1139" s="16"/>
      <c r="Q1139" s="16"/>
      <c r="R1139" s="16"/>
      <c r="S1139" s="16"/>
      <c r="T1139" s="16"/>
      <c r="U1139" s="16"/>
      <c r="V1139" s="16"/>
      <c r="W1139" s="16"/>
      <c r="X1139" s="16"/>
      <c r="Y1139" s="16"/>
      <c r="Z1139" s="16"/>
      <c r="AA1139" s="16"/>
      <c r="AB1139" s="16"/>
    </row>
    <row r="1140" spans="3:28" ht="12.75">
      <c r="C1140" s="16"/>
      <c r="D1140" s="16"/>
      <c r="E1140" s="16"/>
      <c r="F1140" s="16"/>
      <c r="G1140" s="16"/>
      <c r="H1140" s="16"/>
      <c r="I1140" s="16"/>
      <c r="J1140" s="16"/>
      <c r="K1140" s="16"/>
      <c r="L1140" s="16"/>
      <c r="M1140" s="16"/>
      <c r="N1140" s="16"/>
      <c r="O1140" s="16"/>
      <c r="P1140" s="16"/>
      <c r="Q1140" s="16"/>
      <c r="R1140" s="16"/>
      <c r="S1140" s="16"/>
      <c r="T1140" s="16"/>
      <c r="U1140" s="16"/>
      <c r="V1140" s="16"/>
      <c r="W1140" s="16"/>
      <c r="X1140" s="16"/>
      <c r="Y1140" s="16"/>
      <c r="Z1140" s="16"/>
      <c r="AA1140" s="16"/>
      <c r="AB1140" s="16"/>
    </row>
    <row r="1141" spans="3:28" ht="12.75">
      <c r="C1141" s="16"/>
      <c r="D1141" s="16"/>
      <c r="E1141" s="16"/>
      <c r="F1141" s="16"/>
      <c r="G1141" s="16"/>
      <c r="H1141" s="16"/>
      <c r="I1141" s="16"/>
      <c r="J1141" s="16"/>
      <c r="K1141" s="16"/>
      <c r="L1141" s="16"/>
      <c r="M1141" s="16"/>
      <c r="N1141" s="16"/>
      <c r="O1141" s="16"/>
      <c r="P1141" s="16"/>
      <c r="Q1141" s="16"/>
      <c r="R1141" s="16"/>
      <c r="S1141" s="16"/>
      <c r="T1141" s="16"/>
      <c r="U1141" s="16"/>
      <c r="V1141" s="16"/>
      <c r="W1141" s="16"/>
      <c r="X1141" s="16"/>
      <c r="Y1141" s="16"/>
      <c r="Z1141" s="16"/>
      <c r="AA1141" s="16"/>
      <c r="AB1141" s="16"/>
    </row>
    <row r="1142" spans="3:28" ht="12.75">
      <c r="C1142" s="16"/>
      <c r="D1142" s="16"/>
      <c r="E1142" s="16"/>
      <c r="F1142" s="16"/>
      <c r="G1142" s="16"/>
      <c r="H1142" s="16"/>
      <c r="I1142" s="16"/>
      <c r="J1142" s="16"/>
      <c r="K1142" s="16"/>
      <c r="L1142" s="16"/>
      <c r="M1142" s="16"/>
      <c r="N1142" s="16"/>
      <c r="O1142" s="16"/>
      <c r="P1142" s="16"/>
      <c r="Q1142" s="16"/>
      <c r="R1142" s="16"/>
      <c r="S1142" s="16"/>
      <c r="T1142" s="16"/>
      <c r="U1142" s="16"/>
      <c r="V1142" s="16"/>
      <c r="W1142" s="16"/>
      <c r="X1142" s="16"/>
      <c r="Y1142" s="16"/>
      <c r="Z1142" s="16"/>
      <c r="AA1142" s="16"/>
      <c r="AB1142" s="16"/>
    </row>
    <row r="1143" spans="3:28" ht="12.75">
      <c r="C1143" s="16"/>
      <c r="D1143" s="16"/>
      <c r="E1143" s="16"/>
      <c r="F1143" s="16"/>
      <c r="G1143" s="16"/>
      <c r="H1143" s="16"/>
      <c r="I1143" s="16"/>
      <c r="J1143" s="16"/>
      <c r="K1143" s="16"/>
      <c r="L1143" s="16"/>
      <c r="M1143" s="16"/>
      <c r="N1143" s="16"/>
      <c r="O1143" s="16"/>
      <c r="P1143" s="16"/>
      <c r="Q1143" s="16"/>
      <c r="R1143" s="16"/>
      <c r="S1143" s="16"/>
      <c r="T1143" s="16"/>
      <c r="U1143" s="16"/>
      <c r="V1143" s="16"/>
      <c r="W1143" s="16"/>
      <c r="X1143" s="16"/>
      <c r="Y1143" s="16"/>
      <c r="Z1143" s="16"/>
      <c r="AA1143" s="16"/>
      <c r="AB1143" s="16"/>
    </row>
    <row r="1144" spans="3:28" ht="12.75">
      <c r="C1144" s="16"/>
      <c r="D1144" s="16"/>
      <c r="E1144" s="16"/>
      <c r="F1144" s="16"/>
      <c r="G1144" s="16"/>
      <c r="H1144" s="16"/>
      <c r="I1144" s="16"/>
      <c r="J1144" s="16"/>
      <c r="K1144" s="16"/>
      <c r="L1144" s="16"/>
      <c r="M1144" s="16"/>
      <c r="N1144" s="16"/>
      <c r="O1144" s="16"/>
      <c r="P1144" s="16"/>
      <c r="Q1144" s="16"/>
      <c r="R1144" s="16"/>
      <c r="S1144" s="16"/>
      <c r="T1144" s="16"/>
      <c r="U1144" s="16"/>
      <c r="V1144" s="16"/>
      <c r="W1144" s="16"/>
      <c r="X1144" s="16"/>
      <c r="Y1144" s="16"/>
      <c r="Z1144" s="16"/>
      <c r="AA1144" s="16"/>
      <c r="AB1144" s="16"/>
    </row>
    <row r="1145" spans="3:28" ht="12.75">
      <c r="C1145" s="16"/>
      <c r="D1145" s="16"/>
      <c r="E1145" s="16"/>
      <c r="F1145" s="16"/>
      <c r="G1145" s="16"/>
      <c r="H1145" s="16"/>
      <c r="I1145" s="16"/>
      <c r="J1145" s="16"/>
      <c r="K1145" s="16"/>
      <c r="L1145" s="16"/>
      <c r="M1145" s="16"/>
      <c r="N1145" s="16"/>
      <c r="O1145" s="16"/>
      <c r="P1145" s="16"/>
      <c r="Q1145" s="16"/>
      <c r="R1145" s="16"/>
      <c r="S1145" s="16"/>
      <c r="T1145" s="16"/>
      <c r="U1145" s="16"/>
      <c r="V1145" s="16"/>
      <c r="W1145" s="16"/>
      <c r="X1145" s="16"/>
      <c r="Y1145" s="16"/>
      <c r="Z1145" s="16"/>
      <c r="AA1145" s="16"/>
      <c r="AB1145" s="16"/>
    </row>
    <row r="1146" spans="3:28" ht="12.75">
      <c r="C1146" s="16"/>
      <c r="D1146" s="16"/>
      <c r="E1146" s="16"/>
      <c r="F1146" s="16"/>
      <c r="G1146" s="16"/>
      <c r="H1146" s="16"/>
      <c r="I1146" s="16"/>
      <c r="J1146" s="16"/>
      <c r="K1146" s="16"/>
      <c r="L1146" s="16"/>
      <c r="M1146" s="16"/>
      <c r="N1146" s="16"/>
      <c r="O1146" s="16"/>
      <c r="P1146" s="16"/>
      <c r="Q1146" s="16"/>
      <c r="R1146" s="16"/>
      <c r="S1146" s="16"/>
      <c r="T1146" s="16"/>
      <c r="U1146" s="16"/>
      <c r="V1146" s="16"/>
      <c r="W1146" s="16"/>
      <c r="X1146" s="16"/>
      <c r="Y1146" s="16"/>
      <c r="Z1146" s="16"/>
      <c r="AA1146" s="16"/>
      <c r="AB1146" s="16"/>
    </row>
    <row r="1147" spans="3:28" ht="12.75">
      <c r="C1147" s="16"/>
      <c r="D1147" s="16"/>
      <c r="E1147" s="16"/>
      <c r="F1147" s="16"/>
      <c r="G1147" s="16"/>
      <c r="H1147" s="16"/>
      <c r="I1147" s="16"/>
      <c r="J1147" s="16"/>
      <c r="K1147" s="16"/>
      <c r="L1147" s="16"/>
      <c r="M1147" s="16"/>
      <c r="N1147" s="16"/>
      <c r="O1147" s="16"/>
      <c r="P1147" s="16"/>
      <c r="Q1147" s="16"/>
      <c r="R1147" s="16"/>
      <c r="S1147" s="16"/>
      <c r="T1147" s="16"/>
      <c r="U1147" s="16"/>
      <c r="V1147" s="16"/>
      <c r="W1147" s="16"/>
      <c r="X1147" s="16"/>
      <c r="Y1147" s="16"/>
      <c r="Z1147" s="16"/>
      <c r="AA1147" s="16"/>
      <c r="AB1147" s="16"/>
    </row>
    <row r="1148" spans="3:28" ht="12.75">
      <c r="C1148" s="16"/>
      <c r="D1148" s="16"/>
      <c r="E1148" s="16"/>
      <c r="F1148" s="16"/>
      <c r="G1148" s="16"/>
      <c r="H1148" s="16"/>
      <c r="I1148" s="16"/>
      <c r="J1148" s="16"/>
      <c r="K1148" s="16"/>
      <c r="L1148" s="16"/>
      <c r="M1148" s="16"/>
      <c r="N1148" s="16"/>
      <c r="O1148" s="16"/>
      <c r="P1148" s="16"/>
      <c r="Q1148" s="16"/>
      <c r="R1148" s="16"/>
      <c r="S1148" s="16"/>
      <c r="T1148" s="16"/>
      <c r="U1148" s="16"/>
      <c r="V1148" s="16"/>
      <c r="W1148" s="16"/>
      <c r="X1148" s="16"/>
      <c r="Y1148" s="16"/>
      <c r="Z1148" s="16"/>
      <c r="AA1148" s="16"/>
      <c r="AB1148" s="16"/>
    </row>
    <row r="1149" spans="3:28" ht="12.75">
      <c r="C1149" s="16"/>
      <c r="D1149" s="16"/>
      <c r="E1149" s="16"/>
      <c r="F1149" s="16"/>
      <c r="G1149" s="16"/>
      <c r="H1149" s="16"/>
      <c r="I1149" s="16"/>
      <c r="J1149" s="16"/>
      <c r="K1149" s="16"/>
      <c r="L1149" s="16"/>
      <c r="M1149" s="16"/>
      <c r="N1149" s="16"/>
      <c r="O1149" s="16"/>
      <c r="P1149" s="16"/>
      <c r="Q1149" s="16"/>
      <c r="R1149" s="16"/>
      <c r="S1149" s="16"/>
      <c r="T1149" s="16"/>
      <c r="U1149" s="16"/>
      <c r="V1149" s="16"/>
      <c r="W1149" s="16"/>
      <c r="X1149" s="16"/>
      <c r="Y1149" s="16"/>
      <c r="Z1149" s="16"/>
      <c r="AA1149" s="16"/>
      <c r="AB1149" s="16"/>
    </row>
    <row r="1150" spans="3:28" ht="12.75">
      <c r="C1150" s="16"/>
      <c r="D1150" s="16"/>
      <c r="E1150" s="16"/>
      <c r="F1150" s="16"/>
      <c r="G1150" s="16"/>
      <c r="H1150" s="16"/>
      <c r="I1150" s="16"/>
      <c r="J1150" s="16"/>
      <c r="K1150" s="16"/>
      <c r="L1150" s="16"/>
      <c r="M1150" s="16"/>
      <c r="N1150" s="16"/>
      <c r="O1150" s="16"/>
      <c r="P1150" s="16"/>
      <c r="Q1150" s="16"/>
      <c r="R1150" s="16"/>
      <c r="S1150" s="16"/>
      <c r="T1150" s="16"/>
      <c r="U1150" s="16"/>
      <c r="V1150" s="16"/>
      <c r="W1150" s="16"/>
      <c r="X1150" s="16"/>
      <c r="Y1150" s="16"/>
      <c r="Z1150" s="16"/>
      <c r="AA1150" s="16"/>
      <c r="AB1150" s="16"/>
    </row>
    <row r="1151" spans="3:28" ht="12.75">
      <c r="C1151" s="16"/>
      <c r="D1151" s="16"/>
      <c r="E1151" s="16"/>
      <c r="F1151" s="16"/>
      <c r="G1151" s="16"/>
      <c r="H1151" s="16"/>
      <c r="I1151" s="16"/>
      <c r="J1151" s="16"/>
      <c r="K1151" s="16"/>
      <c r="L1151" s="16"/>
      <c r="M1151" s="16"/>
      <c r="N1151" s="16"/>
      <c r="O1151" s="16"/>
      <c r="P1151" s="16"/>
      <c r="Q1151" s="16"/>
      <c r="R1151" s="16"/>
      <c r="S1151" s="16"/>
      <c r="T1151" s="16"/>
      <c r="U1151" s="16"/>
      <c r="V1151" s="16"/>
      <c r="W1151" s="16"/>
      <c r="X1151" s="16"/>
      <c r="Y1151" s="16"/>
      <c r="Z1151" s="16"/>
      <c r="AA1151" s="16"/>
      <c r="AB1151" s="16"/>
    </row>
    <row r="1152" spans="3:28" ht="12.75">
      <c r="C1152" s="16"/>
      <c r="D1152" s="16"/>
      <c r="E1152" s="16"/>
      <c r="F1152" s="16"/>
      <c r="G1152" s="16"/>
      <c r="H1152" s="16"/>
      <c r="I1152" s="16"/>
      <c r="J1152" s="16"/>
      <c r="K1152" s="16"/>
      <c r="L1152" s="16"/>
      <c r="M1152" s="16"/>
      <c r="N1152" s="16"/>
      <c r="O1152" s="16"/>
      <c r="P1152" s="16"/>
      <c r="Q1152" s="16"/>
      <c r="R1152" s="16"/>
      <c r="S1152" s="16"/>
      <c r="T1152" s="16"/>
      <c r="U1152" s="16"/>
      <c r="V1152" s="16"/>
      <c r="W1152" s="16"/>
      <c r="X1152" s="16"/>
      <c r="Y1152" s="16"/>
      <c r="Z1152" s="16"/>
      <c r="AA1152" s="16"/>
      <c r="AB1152" s="16"/>
    </row>
    <row r="1153" spans="3:28" ht="12.75">
      <c r="C1153" s="16"/>
      <c r="D1153" s="16"/>
      <c r="E1153" s="16"/>
      <c r="F1153" s="16"/>
      <c r="G1153" s="16"/>
      <c r="H1153" s="16"/>
      <c r="I1153" s="16"/>
      <c r="J1153" s="16"/>
      <c r="K1153" s="16"/>
      <c r="L1153" s="16"/>
      <c r="M1153" s="16"/>
      <c r="N1153" s="16"/>
      <c r="O1153" s="16"/>
      <c r="P1153" s="16"/>
      <c r="Q1153" s="16"/>
      <c r="R1153" s="16"/>
      <c r="S1153" s="16"/>
      <c r="T1153" s="16"/>
      <c r="U1153" s="16"/>
      <c r="V1153" s="16"/>
      <c r="W1153" s="16"/>
      <c r="X1153" s="16"/>
      <c r="Y1153" s="16"/>
      <c r="Z1153" s="16"/>
      <c r="AA1153" s="16"/>
      <c r="AB1153" s="16"/>
    </row>
    <row r="1154" spans="3:28" ht="12.75">
      <c r="C1154" s="16"/>
      <c r="D1154" s="16"/>
      <c r="E1154" s="16"/>
      <c r="F1154" s="16"/>
      <c r="G1154" s="16"/>
      <c r="H1154" s="16"/>
      <c r="I1154" s="16"/>
      <c r="J1154" s="16"/>
      <c r="K1154" s="16"/>
      <c r="L1154" s="16"/>
      <c r="M1154" s="16"/>
      <c r="N1154" s="16"/>
      <c r="O1154" s="16"/>
      <c r="P1154" s="16"/>
      <c r="Q1154" s="16"/>
      <c r="R1154" s="16"/>
      <c r="S1154" s="16"/>
      <c r="T1154" s="16"/>
      <c r="U1154" s="16"/>
      <c r="V1154" s="16"/>
      <c r="W1154" s="16"/>
      <c r="X1154" s="16"/>
      <c r="Y1154" s="16"/>
      <c r="Z1154" s="16"/>
      <c r="AA1154" s="16"/>
      <c r="AB1154" s="16"/>
    </row>
    <row r="1155" spans="3:28" ht="12.75">
      <c r="C1155" s="16"/>
      <c r="D1155" s="16"/>
      <c r="E1155" s="16"/>
      <c r="F1155" s="16"/>
      <c r="G1155" s="16"/>
      <c r="H1155" s="16"/>
      <c r="I1155" s="16"/>
      <c r="J1155" s="16"/>
      <c r="K1155" s="16"/>
      <c r="L1155" s="16"/>
      <c r="M1155" s="16"/>
      <c r="N1155" s="16"/>
      <c r="O1155" s="16"/>
      <c r="P1155" s="16"/>
      <c r="Q1155" s="16"/>
      <c r="R1155" s="16"/>
      <c r="S1155" s="16"/>
      <c r="T1155" s="16"/>
      <c r="U1155" s="16"/>
      <c r="V1155" s="16"/>
      <c r="W1155" s="16"/>
      <c r="X1155" s="16"/>
      <c r="Y1155" s="16"/>
      <c r="Z1155" s="16"/>
      <c r="AA1155" s="16"/>
      <c r="AB1155" s="16"/>
    </row>
    <row r="1156" spans="3:28" ht="12.75">
      <c r="C1156" s="16"/>
      <c r="D1156" s="16"/>
      <c r="E1156" s="16"/>
      <c r="F1156" s="16"/>
      <c r="G1156" s="16"/>
      <c r="H1156" s="16"/>
      <c r="I1156" s="16"/>
      <c r="J1156" s="16"/>
      <c r="K1156" s="16"/>
      <c r="L1156" s="16"/>
      <c r="M1156" s="16"/>
      <c r="N1156" s="16"/>
      <c r="O1156" s="16"/>
      <c r="P1156" s="16"/>
      <c r="Q1156" s="16"/>
      <c r="R1156" s="16"/>
      <c r="S1156" s="16"/>
      <c r="T1156" s="16"/>
      <c r="U1156" s="16"/>
      <c r="V1156" s="16"/>
      <c r="W1156" s="16"/>
      <c r="X1156" s="16"/>
      <c r="Y1156" s="16"/>
      <c r="Z1156" s="16"/>
      <c r="AA1156" s="16"/>
      <c r="AB1156" s="16"/>
    </row>
    <row r="1157" spans="3:28" ht="12.75">
      <c r="C1157" s="16"/>
      <c r="D1157" s="16"/>
      <c r="E1157" s="16"/>
      <c r="F1157" s="16"/>
      <c r="G1157" s="16"/>
      <c r="H1157" s="16"/>
      <c r="I1157" s="16"/>
      <c r="J1157" s="16"/>
      <c r="K1157" s="16"/>
      <c r="L1157" s="16"/>
      <c r="M1157" s="16"/>
      <c r="N1157" s="16"/>
      <c r="O1157" s="16"/>
      <c r="P1157" s="16"/>
      <c r="Q1157" s="16"/>
      <c r="R1157" s="16"/>
      <c r="S1157" s="16"/>
      <c r="T1157" s="16"/>
      <c r="U1157" s="16"/>
      <c r="V1157" s="16"/>
      <c r="W1157" s="16"/>
      <c r="X1157" s="16"/>
      <c r="Y1157" s="16"/>
      <c r="Z1157" s="16"/>
      <c r="AA1157" s="16"/>
      <c r="AB1157" s="16"/>
    </row>
    <row r="1158" spans="3:28" ht="12.75">
      <c r="C1158" s="16"/>
      <c r="D1158" s="16"/>
      <c r="E1158" s="16"/>
      <c r="F1158" s="16"/>
      <c r="G1158" s="16"/>
      <c r="H1158" s="16"/>
      <c r="I1158" s="16"/>
      <c r="J1158" s="16"/>
      <c r="K1158" s="16"/>
      <c r="L1158" s="16"/>
      <c r="M1158" s="16"/>
      <c r="N1158" s="16"/>
      <c r="O1158" s="16"/>
      <c r="P1158" s="16"/>
      <c r="Q1158" s="16"/>
      <c r="R1158" s="16"/>
      <c r="S1158" s="16"/>
      <c r="T1158" s="16"/>
      <c r="U1158" s="16"/>
      <c r="V1158" s="16"/>
      <c r="W1158" s="16"/>
      <c r="X1158" s="16"/>
      <c r="Y1158" s="16"/>
      <c r="Z1158" s="16"/>
      <c r="AA1158" s="16"/>
      <c r="AB1158" s="16"/>
    </row>
    <row r="1159" spans="3:28" ht="12.75">
      <c r="C1159" s="16"/>
      <c r="D1159" s="16"/>
      <c r="E1159" s="16"/>
      <c r="F1159" s="16"/>
      <c r="G1159" s="16"/>
      <c r="H1159" s="16"/>
      <c r="I1159" s="16"/>
      <c r="J1159" s="16"/>
      <c r="K1159" s="16"/>
      <c r="L1159" s="16"/>
      <c r="M1159" s="16"/>
      <c r="N1159" s="16"/>
      <c r="O1159" s="16"/>
      <c r="P1159" s="16"/>
      <c r="Q1159" s="16"/>
      <c r="R1159" s="16"/>
      <c r="S1159" s="16"/>
      <c r="T1159" s="16"/>
      <c r="U1159" s="16"/>
      <c r="V1159" s="16"/>
      <c r="W1159" s="16"/>
      <c r="X1159" s="16"/>
      <c r="Y1159" s="16"/>
      <c r="Z1159" s="16"/>
      <c r="AA1159" s="16"/>
      <c r="AB1159" s="16"/>
    </row>
    <row r="1160" spans="3:28" ht="12.75">
      <c r="C1160" s="16"/>
      <c r="D1160" s="16"/>
      <c r="E1160" s="16"/>
      <c r="F1160" s="16"/>
      <c r="G1160" s="16"/>
      <c r="H1160" s="16"/>
      <c r="I1160" s="16"/>
      <c r="J1160" s="16"/>
      <c r="K1160" s="16"/>
      <c r="L1160" s="16"/>
      <c r="M1160" s="16"/>
      <c r="N1160" s="16"/>
      <c r="O1160" s="16"/>
      <c r="P1160" s="16"/>
      <c r="Q1160" s="16"/>
      <c r="R1160" s="16"/>
      <c r="S1160" s="16"/>
      <c r="T1160" s="16"/>
      <c r="U1160" s="16"/>
      <c r="V1160" s="16"/>
      <c r="W1160" s="16"/>
      <c r="X1160" s="16"/>
      <c r="Y1160" s="16"/>
      <c r="Z1160" s="16"/>
      <c r="AA1160" s="16"/>
      <c r="AB1160" s="16"/>
    </row>
    <row r="1161" spans="3:28" ht="12.75">
      <c r="C1161" s="16"/>
      <c r="D1161" s="16"/>
      <c r="E1161" s="16"/>
      <c r="F1161" s="16"/>
      <c r="G1161" s="16"/>
      <c r="H1161" s="16"/>
      <c r="I1161" s="16"/>
      <c r="J1161" s="16"/>
      <c r="K1161" s="16"/>
      <c r="L1161" s="16"/>
      <c r="M1161" s="16"/>
      <c r="N1161" s="16"/>
      <c r="O1161" s="16"/>
      <c r="P1161" s="16"/>
      <c r="Q1161" s="16"/>
      <c r="R1161" s="16"/>
      <c r="S1161" s="16"/>
      <c r="T1161" s="16"/>
      <c r="U1161" s="16"/>
      <c r="V1161" s="16"/>
      <c r="W1161" s="16"/>
      <c r="X1161" s="16"/>
      <c r="Y1161" s="16"/>
      <c r="Z1161" s="16"/>
      <c r="AA1161" s="16"/>
      <c r="AB1161" s="16"/>
    </row>
    <row r="1162" spans="3:28" ht="12.75">
      <c r="C1162" s="16"/>
      <c r="D1162" s="16"/>
      <c r="E1162" s="16"/>
      <c r="F1162" s="16"/>
      <c r="G1162" s="16"/>
      <c r="H1162" s="16"/>
      <c r="I1162" s="16"/>
      <c r="J1162" s="16"/>
      <c r="K1162" s="16"/>
      <c r="L1162" s="16"/>
      <c r="M1162" s="16"/>
      <c r="N1162" s="16"/>
      <c r="O1162" s="16"/>
      <c r="P1162" s="16"/>
      <c r="Q1162" s="16"/>
      <c r="R1162" s="16"/>
      <c r="S1162" s="16"/>
      <c r="T1162" s="16"/>
      <c r="U1162" s="16"/>
      <c r="V1162" s="16"/>
      <c r="W1162" s="16"/>
      <c r="X1162" s="16"/>
      <c r="Y1162" s="16"/>
      <c r="Z1162" s="16"/>
      <c r="AA1162" s="16"/>
      <c r="AB1162" s="16"/>
    </row>
    <row r="1163" spans="3:28" ht="12.75">
      <c r="C1163" s="16"/>
      <c r="D1163" s="16"/>
      <c r="E1163" s="16"/>
      <c r="F1163" s="16"/>
      <c r="G1163" s="16"/>
      <c r="H1163" s="16"/>
      <c r="I1163" s="16"/>
      <c r="J1163" s="16"/>
      <c r="K1163" s="16"/>
      <c r="L1163" s="16"/>
      <c r="M1163" s="16"/>
      <c r="N1163" s="16"/>
      <c r="O1163" s="16"/>
      <c r="P1163" s="16"/>
      <c r="Q1163" s="16"/>
      <c r="R1163" s="16"/>
      <c r="S1163" s="16"/>
      <c r="T1163" s="16"/>
      <c r="U1163" s="16"/>
      <c r="V1163" s="16"/>
      <c r="W1163" s="16"/>
      <c r="X1163" s="16"/>
      <c r="Y1163" s="16"/>
      <c r="Z1163" s="16"/>
      <c r="AA1163" s="16"/>
      <c r="AB1163" s="16"/>
    </row>
    <row r="1164" spans="3:28" ht="12.75">
      <c r="C1164" s="16"/>
      <c r="D1164" s="16"/>
      <c r="E1164" s="16"/>
      <c r="F1164" s="16"/>
      <c r="G1164" s="16"/>
      <c r="H1164" s="16"/>
      <c r="I1164" s="16"/>
      <c r="J1164" s="16"/>
      <c r="K1164" s="16"/>
      <c r="L1164" s="16"/>
      <c r="M1164" s="16"/>
      <c r="N1164" s="16"/>
      <c r="O1164" s="16"/>
      <c r="P1164" s="16"/>
      <c r="Q1164" s="16"/>
      <c r="R1164" s="16"/>
      <c r="S1164" s="16"/>
      <c r="T1164" s="16"/>
      <c r="U1164" s="16"/>
      <c r="V1164" s="16"/>
      <c r="W1164" s="16"/>
      <c r="X1164" s="16"/>
      <c r="Y1164" s="16"/>
      <c r="Z1164" s="16"/>
      <c r="AA1164" s="16"/>
      <c r="AB1164" s="16"/>
    </row>
    <row r="1165" spans="3:28" ht="12.75">
      <c r="C1165" s="16"/>
      <c r="D1165" s="16"/>
      <c r="E1165" s="16"/>
      <c r="F1165" s="16"/>
      <c r="G1165" s="16"/>
      <c r="H1165" s="16"/>
      <c r="I1165" s="16"/>
      <c r="J1165" s="16"/>
      <c r="K1165" s="16"/>
      <c r="L1165" s="16"/>
      <c r="M1165" s="16"/>
      <c r="N1165" s="16"/>
      <c r="O1165" s="16"/>
      <c r="P1165" s="16"/>
      <c r="Q1165" s="16"/>
      <c r="R1165" s="16"/>
      <c r="S1165" s="16"/>
      <c r="T1165" s="16"/>
      <c r="U1165" s="16"/>
      <c r="V1165" s="16"/>
      <c r="W1165" s="16"/>
      <c r="X1165" s="16"/>
      <c r="Y1165" s="16"/>
      <c r="Z1165" s="16"/>
      <c r="AA1165" s="16"/>
      <c r="AB1165" s="16"/>
    </row>
    <row r="1166" spans="3:28" ht="12.75">
      <c r="C1166" s="16"/>
      <c r="D1166" s="16"/>
      <c r="E1166" s="16"/>
      <c r="F1166" s="16"/>
      <c r="G1166" s="16"/>
      <c r="H1166" s="16"/>
      <c r="I1166" s="16"/>
      <c r="J1166" s="16"/>
      <c r="K1166" s="16"/>
      <c r="L1166" s="16"/>
      <c r="M1166" s="16"/>
      <c r="N1166" s="16"/>
      <c r="O1166" s="16"/>
      <c r="P1166" s="16"/>
      <c r="Q1166" s="16"/>
      <c r="R1166" s="16"/>
      <c r="S1166" s="16"/>
      <c r="T1166" s="16"/>
      <c r="U1166" s="16"/>
      <c r="V1166" s="16"/>
      <c r="W1166" s="16"/>
      <c r="X1166" s="16"/>
      <c r="Y1166" s="16"/>
      <c r="Z1166" s="16"/>
      <c r="AA1166" s="16"/>
      <c r="AB1166" s="16"/>
    </row>
    <row r="1167" spans="3:28" ht="12.75">
      <c r="C1167" s="16"/>
      <c r="D1167" s="16"/>
      <c r="E1167" s="16"/>
      <c r="F1167" s="16"/>
      <c r="G1167" s="16"/>
      <c r="H1167" s="16"/>
      <c r="I1167" s="16"/>
      <c r="J1167" s="16"/>
      <c r="K1167" s="16"/>
      <c r="L1167" s="16"/>
      <c r="M1167" s="16"/>
      <c r="N1167" s="16"/>
      <c r="O1167" s="16"/>
      <c r="P1167" s="16"/>
      <c r="Q1167" s="16"/>
      <c r="R1167" s="16"/>
      <c r="S1167" s="16"/>
      <c r="T1167" s="16"/>
      <c r="U1167" s="16"/>
      <c r="V1167" s="16"/>
      <c r="W1167" s="16"/>
      <c r="X1167" s="16"/>
      <c r="Y1167" s="16"/>
      <c r="Z1167" s="16"/>
      <c r="AA1167" s="16"/>
      <c r="AB1167" s="16"/>
    </row>
    <row r="1168" spans="3:28" ht="12.75">
      <c r="C1168" s="16"/>
      <c r="D1168" s="16"/>
      <c r="E1168" s="16"/>
      <c r="F1168" s="16"/>
      <c r="G1168" s="16"/>
      <c r="H1168" s="16"/>
      <c r="I1168" s="16"/>
      <c r="J1168" s="16"/>
      <c r="K1168" s="16"/>
      <c r="L1168" s="16"/>
      <c r="M1168" s="16"/>
      <c r="N1168" s="16"/>
      <c r="O1168" s="16"/>
      <c r="P1168" s="16"/>
      <c r="Q1168" s="16"/>
      <c r="R1168" s="16"/>
      <c r="S1168" s="16"/>
      <c r="T1168" s="16"/>
      <c r="U1168" s="16"/>
      <c r="V1168" s="16"/>
      <c r="W1168" s="16"/>
      <c r="X1168" s="16"/>
      <c r="Y1168" s="16"/>
      <c r="Z1168" s="16"/>
      <c r="AA1168" s="16"/>
      <c r="AB1168" s="16"/>
    </row>
    <row r="1169" spans="3:28" ht="12.75">
      <c r="C1169" s="16"/>
      <c r="D1169" s="16"/>
      <c r="E1169" s="16"/>
      <c r="F1169" s="16"/>
      <c r="G1169" s="16"/>
      <c r="H1169" s="16"/>
      <c r="I1169" s="16"/>
      <c r="J1169" s="16"/>
      <c r="K1169" s="16"/>
      <c r="L1169" s="16"/>
      <c r="M1169" s="16"/>
      <c r="N1169" s="16"/>
      <c r="O1169" s="16"/>
      <c r="P1169" s="16"/>
      <c r="Q1169" s="16"/>
      <c r="R1169" s="16"/>
      <c r="S1169" s="16"/>
      <c r="T1169" s="16"/>
      <c r="U1169" s="16"/>
      <c r="V1169" s="16"/>
      <c r="W1169" s="16"/>
      <c r="X1169" s="16"/>
      <c r="Y1169" s="16"/>
      <c r="Z1169" s="16"/>
      <c r="AA1169" s="16"/>
      <c r="AB1169" s="16"/>
    </row>
    <row r="1170" spans="3:28" ht="12.75">
      <c r="C1170" s="16"/>
      <c r="D1170" s="16"/>
      <c r="E1170" s="16"/>
      <c r="F1170" s="16"/>
      <c r="G1170" s="16"/>
      <c r="H1170" s="16"/>
      <c r="I1170" s="16"/>
      <c r="J1170" s="16"/>
      <c r="K1170" s="16"/>
      <c r="L1170" s="16"/>
      <c r="M1170" s="16"/>
      <c r="N1170" s="16"/>
      <c r="O1170" s="16"/>
      <c r="P1170" s="16"/>
      <c r="Q1170" s="16"/>
      <c r="R1170" s="16"/>
      <c r="S1170" s="16"/>
      <c r="T1170" s="16"/>
      <c r="U1170" s="16"/>
      <c r="V1170" s="16"/>
      <c r="W1170" s="16"/>
      <c r="X1170" s="16"/>
      <c r="Y1170" s="16"/>
      <c r="Z1170" s="16"/>
      <c r="AA1170" s="16"/>
      <c r="AB1170" s="16"/>
    </row>
    <row r="1171" spans="3:28" ht="12.75">
      <c r="C1171" s="16"/>
      <c r="D1171" s="16"/>
      <c r="E1171" s="16"/>
      <c r="F1171" s="16"/>
      <c r="G1171" s="16"/>
      <c r="H1171" s="16"/>
      <c r="I1171" s="16"/>
      <c r="J1171" s="16"/>
      <c r="K1171" s="16"/>
      <c r="L1171" s="16"/>
      <c r="M1171" s="16"/>
      <c r="N1171" s="16"/>
      <c r="O1171" s="16"/>
      <c r="P1171" s="16"/>
      <c r="Q1171" s="16"/>
      <c r="R1171" s="16"/>
      <c r="S1171" s="16"/>
      <c r="T1171" s="16"/>
      <c r="U1171" s="16"/>
      <c r="V1171" s="16"/>
      <c r="W1171" s="16"/>
      <c r="X1171" s="16"/>
      <c r="Y1171" s="16"/>
      <c r="Z1171" s="16"/>
      <c r="AA1171" s="16"/>
      <c r="AB1171" s="16"/>
    </row>
    <row r="1172" spans="3:28" ht="12.75">
      <c r="C1172" s="16"/>
      <c r="D1172" s="16"/>
      <c r="E1172" s="16"/>
      <c r="F1172" s="16"/>
      <c r="G1172" s="16"/>
      <c r="H1172" s="16"/>
      <c r="I1172" s="16"/>
      <c r="J1172" s="16"/>
      <c r="K1172" s="16"/>
      <c r="L1172" s="16"/>
      <c r="M1172" s="16"/>
      <c r="N1172" s="16"/>
      <c r="O1172" s="16"/>
      <c r="P1172" s="16"/>
      <c r="Q1172" s="16"/>
      <c r="R1172" s="16"/>
      <c r="S1172" s="16"/>
      <c r="T1172" s="16"/>
      <c r="U1172" s="16"/>
      <c r="V1172" s="16"/>
      <c r="W1172" s="16"/>
      <c r="X1172" s="16"/>
      <c r="Y1172" s="16"/>
      <c r="Z1172" s="16"/>
      <c r="AA1172" s="16"/>
      <c r="AB1172" s="16"/>
    </row>
    <row r="1173" spans="3:28" ht="12.75">
      <c r="C1173" s="16"/>
      <c r="D1173" s="16"/>
      <c r="E1173" s="16"/>
      <c r="F1173" s="16"/>
      <c r="G1173" s="16"/>
      <c r="H1173" s="16"/>
      <c r="I1173" s="16"/>
      <c r="J1173" s="16"/>
      <c r="K1173" s="16"/>
      <c r="L1173" s="16"/>
      <c r="M1173" s="16"/>
      <c r="N1173" s="16"/>
      <c r="O1173" s="16"/>
      <c r="P1173" s="16"/>
      <c r="Q1173" s="16"/>
      <c r="R1173" s="16"/>
      <c r="S1173" s="16"/>
      <c r="T1173" s="16"/>
      <c r="U1173" s="16"/>
      <c r="V1173" s="16"/>
      <c r="W1173" s="16"/>
      <c r="X1173" s="16"/>
      <c r="Y1173" s="16"/>
      <c r="Z1173" s="16"/>
      <c r="AA1173" s="16"/>
      <c r="AB1173" s="16"/>
    </row>
    <row r="1174" spans="3:28" ht="12.75">
      <c r="C1174" s="16"/>
      <c r="D1174" s="16"/>
      <c r="E1174" s="16"/>
      <c r="F1174" s="16"/>
      <c r="G1174" s="16"/>
      <c r="H1174" s="16"/>
      <c r="I1174" s="16"/>
      <c r="J1174" s="16"/>
      <c r="K1174" s="16"/>
      <c r="L1174" s="16"/>
      <c r="M1174" s="16"/>
      <c r="N1174" s="16"/>
      <c r="O1174" s="16"/>
      <c r="P1174" s="16"/>
      <c r="Q1174" s="16"/>
      <c r="R1174" s="16"/>
      <c r="S1174" s="16"/>
      <c r="T1174" s="16"/>
      <c r="U1174" s="16"/>
      <c r="V1174" s="16"/>
      <c r="W1174" s="16"/>
      <c r="X1174" s="16"/>
      <c r="Y1174" s="16"/>
      <c r="Z1174" s="16"/>
      <c r="AA1174" s="16"/>
      <c r="AB1174" s="16"/>
    </row>
    <row r="1175" spans="3:28" ht="12.75">
      <c r="C1175" s="16"/>
      <c r="D1175" s="16"/>
      <c r="E1175" s="16"/>
      <c r="F1175" s="16"/>
      <c r="G1175" s="16"/>
      <c r="H1175" s="16"/>
      <c r="I1175" s="16"/>
      <c r="J1175" s="16"/>
      <c r="K1175" s="16"/>
      <c r="L1175" s="16"/>
      <c r="M1175" s="16"/>
      <c r="N1175" s="16"/>
      <c r="O1175" s="16"/>
      <c r="P1175" s="16"/>
      <c r="Q1175" s="16"/>
      <c r="R1175" s="16"/>
      <c r="S1175" s="16"/>
      <c r="T1175" s="16"/>
      <c r="U1175" s="16"/>
      <c r="V1175" s="16"/>
      <c r="W1175" s="16"/>
      <c r="X1175" s="16"/>
      <c r="Y1175" s="16"/>
      <c r="Z1175" s="16"/>
      <c r="AA1175" s="16"/>
      <c r="AB1175" s="16"/>
    </row>
    <row r="1176" spans="3:28" ht="12.75">
      <c r="C1176" s="16"/>
      <c r="D1176" s="16"/>
      <c r="E1176" s="16"/>
      <c r="F1176" s="16"/>
      <c r="G1176" s="16"/>
      <c r="H1176" s="16"/>
      <c r="I1176" s="16"/>
      <c r="J1176" s="16"/>
      <c r="K1176" s="16"/>
      <c r="L1176" s="16"/>
      <c r="M1176" s="16"/>
      <c r="N1176" s="16"/>
      <c r="O1176" s="16"/>
      <c r="P1176" s="16"/>
      <c r="Q1176" s="16"/>
      <c r="R1176" s="16"/>
      <c r="S1176" s="16"/>
      <c r="T1176" s="16"/>
      <c r="U1176" s="16"/>
      <c r="V1176" s="16"/>
      <c r="W1176" s="16"/>
      <c r="X1176" s="16"/>
      <c r="Y1176" s="16"/>
      <c r="Z1176" s="16"/>
      <c r="AA1176" s="16"/>
      <c r="AB1176" s="16"/>
    </row>
    <row r="1177" spans="3:28" ht="12.75">
      <c r="C1177" s="16"/>
      <c r="D1177" s="16"/>
      <c r="E1177" s="16"/>
      <c r="F1177" s="16"/>
      <c r="G1177" s="16"/>
      <c r="H1177" s="16"/>
      <c r="I1177" s="16"/>
      <c r="J1177" s="16"/>
      <c r="K1177" s="16"/>
      <c r="L1177" s="16"/>
      <c r="M1177" s="16"/>
      <c r="N1177" s="16"/>
      <c r="O1177" s="16"/>
      <c r="P1177" s="16"/>
      <c r="Q1177" s="16"/>
      <c r="R1177" s="16"/>
      <c r="S1177" s="16"/>
      <c r="T1177" s="16"/>
      <c r="U1177" s="16"/>
      <c r="V1177" s="16"/>
      <c r="W1177" s="16"/>
      <c r="X1177" s="16"/>
      <c r="Y1177" s="16"/>
      <c r="Z1177" s="16"/>
      <c r="AA1177" s="16"/>
      <c r="AB1177" s="16"/>
    </row>
    <row r="1178" spans="3:28" ht="12.75">
      <c r="C1178" s="16"/>
      <c r="D1178" s="16"/>
      <c r="E1178" s="16"/>
      <c r="F1178" s="16"/>
      <c r="G1178" s="16"/>
      <c r="H1178" s="16"/>
      <c r="I1178" s="16"/>
      <c r="J1178" s="16"/>
      <c r="K1178" s="16"/>
      <c r="L1178" s="16"/>
      <c r="M1178" s="16"/>
      <c r="N1178" s="16"/>
      <c r="O1178" s="16"/>
      <c r="P1178" s="16"/>
      <c r="Q1178" s="16"/>
      <c r="R1178" s="16"/>
      <c r="S1178" s="16"/>
      <c r="T1178" s="16"/>
      <c r="U1178" s="16"/>
      <c r="V1178" s="16"/>
      <c r="W1178" s="16"/>
      <c r="X1178" s="16"/>
      <c r="Y1178" s="16"/>
      <c r="Z1178" s="16"/>
      <c r="AA1178" s="16"/>
      <c r="AB1178" s="16"/>
    </row>
    <row r="1179" spans="3:28" ht="12.75">
      <c r="C1179" s="16"/>
      <c r="D1179" s="16"/>
      <c r="E1179" s="16"/>
      <c r="F1179" s="16"/>
      <c r="G1179" s="16"/>
      <c r="H1179" s="16"/>
      <c r="I1179" s="16"/>
      <c r="J1179" s="16"/>
      <c r="K1179" s="16"/>
      <c r="L1179" s="16"/>
      <c r="M1179" s="16"/>
      <c r="N1179" s="16"/>
      <c r="O1179" s="16"/>
      <c r="P1179" s="16"/>
      <c r="Q1179" s="16"/>
      <c r="R1179" s="16"/>
      <c r="S1179" s="16"/>
      <c r="T1179" s="16"/>
      <c r="U1179" s="16"/>
      <c r="V1179" s="16"/>
      <c r="W1179" s="16"/>
      <c r="X1179" s="16"/>
      <c r="Y1179" s="16"/>
      <c r="Z1179" s="16"/>
      <c r="AA1179" s="16"/>
      <c r="AB1179" s="16"/>
    </row>
    <row r="1180" spans="3:28" ht="12.75">
      <c r="C1180" s="16"/>
      <c r="D1180" s="16"/>
      <c r="E1180" s="16"/>
      <c r="F1180" s="16"/>
      <c r="G1180" s="16"/>
      <c r="H1180" s="16"/>
      <c r="I1180" s="16"/>
      <c r="J1180" s="16"/>
      <c r="K1180" s="16"/>
      <c r="L1180" s="16"/>
      <c r="M1180" s="16"/>
      <c r="N1180" s="16"/>
      <c r="O1180" s="16"/>
      <c r="P1180" s="16"/>
      <c r="Q1180" s="16"/>
      <c r="R1180" s="16"/>
      <c r="S1180" s="16"/>
      <c r="T1180" s="16"/>
      <c r="U1180" s="16"/>
      <c r="V1180" s="16"/>
      <c r="W1180" s="16"/>
      <c r="X1180" s="16"/>
      <c r="Y1180" s="16"/>
      <c r="Z1180" s="16"/>
      <c r="AA1180" s="16"/>
      <c r="AB1180" s="16"/>
    </row>
    <row r="1181" spans="3:28" ht="12.75">
      <c r="C1181" s="16"/>
      <c r="D1181" s="16"/>
      <c r="E1181" s="16"/>
      <c r="F1181" s="16"/>
      <c r="G1181" s="16"/>
      <c r="H1181" s="16"/>
      <c r="I1181" s="16"/>
      <c r="J1181" s="16"/>
      <c r="K1181" s="16"/>
      <c r="L1181" s="16"/>
      <c r="M1181" s="16"/>
      <c r="N1181" s="16"/>
      <c r="O1181" s="16"/>
      <c r="P1181" s="16"/>
      <c r="Q1181" s="16"/>
      <c r="R1181" s="16"/>
      <c r="S1181" s="16"/>
      <c r="T1181" s="16"/>
      <c r="U1181" s="16"/>
      <c r="V1181" s="16"/>
      <c r="W1181" s="16"/>
      <c r="X1181" s="16"/>
      <c r="Y1181" s="16"/>
      <c r="Z1181" s="16"/>
      <c r="AA1181" s="16"/>
      <c r="AB1181" s="16"/>
    </row>
    <row r="1182" spans="3:28" ht="12.75">
      <c r="C1182" s="16"/>
      <c r="D1182" s="16"/>
      <c r="E1182" s="16"/>
      <c r="F1182" s="16"/>
      <c r="G1182" s="16"/>
      <c r="H1182" s="16"/>
      <c r="I1182" s="16"/>
      <c r="J1182" s="16"/>
      <c r="K1182" s="16"/>
      <c r="L1182" s="16"/>
      <c r="M1182" s="16"/>
      <c r="N1182" s="16"/>
      <c r="O1182" s="16"/>
      <c r="P1182" s="16"/>
      <c r="Q1182" s="16"/>
      <c r="R1182" s="16"/>
      <c r="S1182" s="16"/>
      <c r="T1182" s="16"/>
      <c r="U1182" s="16"/>
      <c r="V1182" s="16"/>
      <c r="W1182" s="16"/>
      <c r="X1182" s="16"/>
      <c r="Y1182" s="16"/>
      <c r="Z1182" s="16"/>
      <c r="AA1182" s="16"/>
      <c r="AB1182" s="16"/>
    </row>
    <row r="1183" spans="3:28" ht="12.75">
      <c r="C1183" s="16"/>
      <c r="D1183" s="16"/>
      <c r="E1183" s="16"/>
      <c r="F1183" s="16"/>
      <c r="G1183" s="16"/>
      <c r="H1183" s="16"/>
      <c r="I1183" s="16"/>
      <c r="J1183" s="16"/>
      <c r="K1183" s="16"/>
      <c r="L1183" s="16"/>
      <c r="M1183" s="16"/>
      <c r="N1183" s="16"/>
      <c r="O1183" s="16"/>
      <c r="P1183" s="16"/>
      <c r="Q1183" s="16"/>
      <c r="R1183" s="16"/>
      <c r="S1183" s="16"/>
      <c r="T1183" s="16"/>
      <c r="U1183" s="16"/>
      <c r="V1183" s="16"/>
      <c r="W1183" s="16"/>
      <c r="X1183" s="16"/>
      <c r="Y1183" s="16"/>
      <c r="Z1183" s="16"/>
      <c r="AA1183" s="16"/>
      <c r="AB1183" s="16"/>
    </row>
    <row r="1184" spans="3:28" ht="12.75">
      <c r="C1184" s="16"/>
      <c r="D1184" s="16"/>
      <c r="E1184" s="16"/>
      <c r="F1184" s="16"/>
      <c r="G1184" s="16"/>
      <c r="H1184" s="16"/>
      <c r="I1184" s="16"/>
      <c r="J1184" s="16"/>
      <c r="K1184" s="16"/>
      <c r="L1184" s="16"/>
      <c r="M1184" s="16"/>
      <c r="N1184" s="16"/>
      <c r="O1184" s="16"/>
      <c r="P1184" s="16"/>
      <c r="Q1184" s="16"/>
      <c r="R1184" s="16"/>
      <c r="S1184" s="16"/>
      <c r="T1184" s="16"/>
      <c r="U1184" s="16"/>
      <c r="V1184" s="16"/>
      <c r="W1184" s="16"/>
      <c r="X1184" s="16"/>
      <c r="Y1184" s="16"/>
      <c r="Z1184" s="16"/>
      <c r="AA1184" s="16"/>
      <c r="AB1184" s="16"/>
    </row>
    <row r="1185" spans="3:28" ht="12.75">
      <c r="C1185" s="16"/>
      <c r="D1185" s="16"/>
      <c r="E1185" s="16"/>
      <c r="F1185" s="16"/>
      <c r="G1185" s="16"/>
      <c r="H1185" s="16"/>
      <c r="I1185" s="16"/>
      <c r="J1185" s="16"/>
      <c r="K1185" s="16"/>
      <c r="L1185" s="16"/>
      <c r="M1185" s="16"/>
      <c r="N1185" s="16"/>
      <c r="O1185" s="16"/>
      <c r="P1185" s="16"/>
      <c r="Q1185" s="16"/>
      <c r="R1185" s="16"/>
      <c r="S1185" s="16"/>
      <c r="T1185" s="16"/>
      <c r="U1185" s="16"/>
      <c r="V1185" s="16"/>
      <c r="W1185" s="16"/>
      <c r="X1185" s="16"/>
      <c r="Y1185" s="16"/>
      <c r="Z1185" s="16"/>
      <c r="AA1185" s="16"/>
      <c r="AB1185" s="16"/>
    </row>
    <row r="1186" spans="3:28" ht="12.75">
      <c r="C1186" s="16"/>
      <c r="D1186" s="16"/>
      <c r="E1186" s="16"/>
      <c r="F1186" s="16"/>
      <c r="G1186" s="16"/>
      <c r="H1186" s="16"/>
      <c r="I1186" s="16"/>
      <c r="J1186" s="16"/>
      <c r="K1186" s="16"/>
      <c r="L1186" s="16"/>
      <c r="M1186" s="16"/>
      <c r="N1186" s="16"/>
      <c r="O1186" s="16"/>
      <c r="P1186" s="16"/>
      <c r="Q1186" s="16"/>
      <c r="R1186" s="16"/>
      <c r="S1186" s="16"/>
      <c r="T1186" s="16"/>
      <c r="U1186" s="16"/>
      <c r="V1186" s="16"/>
      <c r="W1186" s="16"/>
      <c r="X1186" s="16"/>
      <c r="Y1186" s="16"/>
      <c r="Z1186" s="16"/>
      <c r="AA1186" s="16"/>
      <c r="AB1186" s="16"/>
    </row>
    <row r="1187" spans="3:28" ht="12.75">
      <c r="C1187" s="16"/>
      <c r="D1187" s="16"/>
      <c r="E1187" s="16"/>
      <c r="F1187" s="16"/>
      <c r="G1187" s="16"/>
      <c r="H1187" s="16"/>
      <c r="I1187" s="16"/>
      <c r="J1187" s="16"/>
      <c r="K1187" s="16"/>
      <c r="L1187" s="16"/>
      <c r="M1187" s="16"/>
      <c r="N1187" s="16"/>
      <c r="O1187" s="16"/>
      <c r="P1187" s="16"/>
      <c r="Q1187" s="16"/>
      <c r="R1187" s="16"/>
      <c r="S1187" s="16"/>
      <c r="T1187" s="16"/>
      <c r="U1187" s="16"/>
      <c r="V1187" s="16"/>
      <c r="W1187" s="16"/>
      <c r="X1187" s="16"/>
      <c r="Y1187" s="16"/>
      <c r="Z1187" s="16"/>
      <c r="AA1187" s="16"/>
      <c r="AB1187" s="16"/>
    </row>
    <row r="1188" spans="3:28" ht="12.75">
      <c r="C1188" s="16"/>
      <c r="D1188" s="16"/>
      <c r="E1188" s="16"/>
      <c r="F1188" s="16"/>
      <c r="G1188" s="16"/>
      <c r="H1188" s="16"/>
      <c r="I1188" s="16"/>
      <c r="J1188" s="16"/>
      <c r="K1188" s="16"/>
      <c r="L1188" s="16"/>
      <c r="M1188" s="16"/>
      <c r="N1188" s="16"/>
      <c r="O1188" s="16"/>
      <c r="P1188" s="16"/>
      <c r="Q1188" s="16"/>
      <c r="R1188" s="16"/>
      <c r="S1188" s="16"/>
      <c r="T1188" s="16"/>
      <c r="U1188" s="16"/>
      <c r="V1188" s="16"/>
      <c r="W1188" s="16"/>
      <c r="X1188" s="16"/>
      <c r="Y1188" s="16"/>
      <c r="Z1188" s="16"/>
      <c r="AA1188" s="16"/>
      <c r="AB1188" s="16"/>
    </row>
    <row r="1189" spans="3:28" ht="12.75">
      <c r="C1189" s="16"/>
      <c r="D1189" s="16"/>
      <c r="E1189" s="16"/>
      <c r="F1189" s="16"/>
      <c r="G1189" s="16"/>
      <c r="H1189" s="16"/>
      <c r="I1189" s="16"/>
      <c r="J1189" s="16"/>
      <c r="K1189" s="16"/>
      <c r="L1189" s="16"/>
      <c r="M1189" s="16"/>
      <c r="N1189" s="16"/>
      <c r="O1189" s="16"/>
      <c r="P1189" s="16"/>
      <c r="Q1189" s="16"/>
      <c r="R1189" s="16"/>
      <c r="S1189" s="16"/>
      <c r="T1189" s="16"/>
      <c r="U1189" s="16"/>
      <c r="V1189" s="16"/>
      <c r="W1189" s="16"/>
      <c r="X1189" s="16"/>
      <c r="Y1189" s="16"/>
      <c r="Z1189" s="16"/>
      <c r="AA1189" s="16"/>
      <c r="AB1189" s="16"/>
    </row>
    <row r="1190" spans="3:28" ht="12.75">
      <c r="C1190" s="16"/>
      <c r="D1190" s="16"/>
      <c r="E1190" s="16"/>
      <c r="F1190" s="16"/>
      <c r="G1190" s="16"/>
      <c r="H1190" s="16"/>
      <c r="I1190" s="16"/>
      <c r="J1190" s="16"/>
      <c r="K1190" s="16"/>
      <c r="L1190" s="16"/>
      <c r="M1190" s="16"/>
      <c r="N1190" s="16"/>
      <c r="O1190" s="16"/>
      <c r="P1190" s="16"/>
      <c r="Q1190" s="16"/>
      <c r="R1190" s="16"/>
      <c r="S1190" s="16"/>
      <c r="T1190" s="16"/>
      <c r="U1190" s="16"/>
      <c r="V1190" s="16"/>
      <c r="W1190" s="16"/>
      <c r="X1190" s="16"/>
      <c r="Y1190" s="16"/>
      <c r="Z1190" s="16"/>
      <c r="AA1190" s="16"/>
      <c r="AB1190" s="16"/>
    </row>
    <row r="1191" spans="3:28" ht="12.75">
      <c r="C1191" s="16"/>
      <c r="D1191" s="16"/>
      <c r="E1191" s="16"/>
      <c r="F1191" s="16"/>
      <c r="G1191" s="16"/>
      <c r="H1191" s="16"/>
      <c r="I1191" s="16"/>
      <c r="J1191" s="16"/>
      <c r="K1191" s="16"/>
      <c r="L1191" s="16"/>
      <c r="M1191" s="16"/>
      <c r="N1191" s="16"/>
      <c r="O1191" s="16"/>
      <c r="P1191" s="16"/>
      <c r="Q1191" s="16"/>
      <c r="R1191" s="16"/>
      <c r="S1191" s="16"/>
      <c r="T1191" s="16"/>
      <c r="U1191" s="16"/>
      <c r="V1191" s="16"/>
      <c r="W1191" s="16"/>
      <c r="X1191" s="16"/>
      <c r="Y1191" s="16"/>
      <c r="Z1191" s="16"/>
      <c r="AA1191" s="16"/>
      <c r="AB1191" s="16"/>
    </row>
    <row r="1192" spans="3:28" ht="12.75">
      <c r="C1192" s="16"/>
      <c r="D1192" s="16"/>
      <c r="E1192" s="16"/>
      <c r="F1192" s="16"/>
      <c r="G1192" s="16"/>
      <c r="H1192" s="16"/>
      <c r="I1192" s="16"/>
      <c r="J1192" s="16"/>
      <c r="K1192" s="16"/>
      <c r="L1192" s="16"/>
      <c r="M1192" s="16"/>
      <c r="N1192" s="16"/>
      <c r="O1192" s="16"/>
      <c r="P1192" s="16"/>
      <c r="Q1192" s="16"/>
      <c r="R1192" s="16"/>
      <c r="S1192" s="16"/>
      <c r="T1192" s="16"/>
      <c r="U1192" s="16"/>
      <c r="V1192" s="16"/>
      <c r="W1192" s="16"/>
      <c r="X1192" s="16"/>
      <c r="Y1192" s="16"/>
      <c r="Z1192" s="16"/>
      <c r="AA1192" s="16"/>
      <c r="AB1192" s="16"/>
    </row>
    <row r="1193" spans="3:28" ht="12.75">
      <c r="C1193" s="16"/>
      <c r="D1193" s="16"/>
      <c r="E1193" s="16"/>
      <c r="F1193" s="16"/>
      <c r="G1193" s="16"/>
      <c r="H1193" s="16"/>
      <c r="I1193" s="16"/>
      <c r="J1193" s="16"/>
      <c r="K1193" s="16"/>
      <c r="L1193" s="16"/>
      <c r="M1193" s="16"/>
      <c r="N1193" s="16"/>
      <c r="O1193" s="16"/>
      <c r="P1193" s="16"/>
      <c r="Q1193" s="16"/>
      <c r="R1193" s="16"/>
      <c r="S1193" s="16"/>
      <c r="T1193" s="16"/>
      <c r="U1193" s="16"/>
      <c r="V1193" s="16"/>
      <c r="W1193" s="16"/>
      <c r="X1193" s="16"/>
      <c r="Y1193" s="16"/>
      <c r="Z1193" s="16"/>
      <c r="AA1193" s="16"/>
      <c r="AB1193" s="16"/>
    </row>
    <row r="1194" spans="3:28" ht="12.75">
      <c r="C1194" s="16"/>
      <c r="D1194" s="16"/>
      <c r="E1194" s="16"/>
      <c r="F1194" s="16"/>
      <c r="G1194" s="16"/>
      <c r="H1194" s="16"/>
      <c r="I1194" s="16"/>
      <c r="J1194" s="16"/>
      <c r="K1194" s="16"/>
      <c r="L1194" s="16"/>
      <c r="M1194" s="16"/>
      <c r="N1194" s="16"/>
      <c r="O1194" s="16"/>
      <c r="P1194" s="16"/>
      <c r="Q1194" s="16"/>
      <c r="R1194" s="16"/>
      <c r="S1194" s="16"/>
      <c r="T1194" s="16"/>
      <c r="U1194" s="16"/>
      <c r="V1194" s="16"/>
      <c r="W1194" s="16"/>
      <c r="X1194" s="16"/>
      <c r="Y1194" s="16"/>
      <c r="Z1194" s="16"/>
      <c r="AA1194" s="16"/>
      <c r="AB1194" s="16"/>
    </row>
    <row r="1195" spans="3:28" ht="12.75">
      <c r="C1195" s="16"/>
      <c r="D1195" s="16"/>
      <c r="E1195" s="16"/>
      <c r="F1195" s="16"/>
      <c r="G1195" s="16"/>
      <c r="H1195" s="16"/>
      <c r="I1195" s="16"/>
      <c r="J1195" s="16"/>
      <c r="K1195" s="16"/>
      <c r="L1195" s="16"/>
      <c r="M1195" s="16"/>
      <c r="N1195" s="16"/>
      <c r="O1195" s="16"/>
      <c r="P1195" s="16"/>
      <c r="Q1195" s="16"/>
      <c r="R1195" s="16"/>
      <c r="S1195" s="16"/>
      <c r="T1195" s="16"/>
      <c r="U1195" s="16"/>
      <c r="V1195" s="16"/>
      <c r="W1195" s="16"/>
      <c r="X1195" s="16"/>
      <c r="Y1195" s="16"/>
      <c r="Z1195" s="16"/>
      <c r="AA1195" s="16"/>
      <c r="AB1195" s="16"/>
    </row>
    <row r="1196" spans="3:28" ht="12.75">
      <c r="C1196" s="16"/>
      <c r="D1196" s="16"/>
      <c r="E1196" s="16"/>
      <c r="F1196" s="16"/>
      <c r="G1196" s="16"/>
      <c r="H1196" s="16"/>
      <c r="I1196" s="16"/>
      <c r="J1196" s="16"/>
      <c r="K1196" s="16"/>
      <c r="L1196" s="16"/>
      <c r="M1196" s="16"/>
      <c r="N1196" s="16"/>
      <c r="O1196" s="16"/>
      <c r="P1196" s="16"/>
      <c r="Q1196" s="16"/>
      <c r="R1196" s="16"/>
      <c r="S1196" s="16"/>
      <c r="T1196" s="16"/>
      <c r="U1196" s="16"/>
      <c r="V1196" s="16"/>
      <c r="W1196" s="16"/>
      <c r="X1196" s="16"/>
      <c r="Y1196" s="16"/>
      <c r="Z1196" s="16"/>
      <c r="AA1196" s="16"/>
      <c r="AB1196" s="16"/>
    </row>
    <row r="1197" spans="3:28" ht="12.75">
      <c r="C1197" s="16"/>
      <c r="D1197" s="16"/>
      <c r="E1197" s="16"/>
      <c r="F1197" s="16"/>
      <c r="G1197" s="16"/>
      <c r="H1197" s="16"/>
      <c r="I1197" s="16"/>
      <c r="J1197" s="16"/>
      <c r="K1197" s="16"/>
      <c r="L1197" s="16"/>
      <c r="M1197" s="16"/>
      <c r="N1197" s="16"/>
      <c r="O1197" s="16"/>
      <c r="P1197" s="16"/>
      <c r="Q1197" s="16"/>
      <c r="R1197" s="16"/>
      <c r="S1197" s="16"/>
      <c r="T1197" s="16"/>
      <c r="U1197" s="16"/>
      <c r="V1197" s="16"/>
      <c r="W1197" s="16"/>
      <c r="X1197" s="16"/>
      <c r="Y1197" s="16"/>
      <c r="Z1197" s="16"/>
      <c r="AA1197" s="16"/>
      <c r="AB1197" s="16"/>
    </row>
    <row r="1198" spans="3:28" ht="12.75">
      <c r="C1198" s="16"/>
      <c r="D1198" s="16"/>
      <c r="E1198" s="16"/>
      <c r="F1198" s="16"/>
      <c r="G1198" s="16"/>
      <c r="H1198" s="16"/>
      <c r="I1198" s="16"/>
      <c r="J1198" s="16"/>
      <c r="K1198" s="16"/>
      <c r="L1198" s="16"/>
      <c r="M1198" s="16"/>
      <c r="N1198" s="16"/>
      <c r="O1198" s="16"/>
      <c r="P1198" s="16"/>
      <c r="Q1198" s="16"/>
      <c r="R1198" s="16"/>
      <c r="S1198" s="16"/>
      <c r="T1198" s="16"/>
      <c r="U1198" s="16"/>
      <c r="V1198" s="16"/>
      <c r="W1198" s="16"/>
      <c r="X1198" s="16"/>
      <c r="Y1198" s="16"/>
      <c r="Z1198" s="16"/>
      <c r="AA1198" s="16"/>
      <c r="AB1198" s="16"/>
    </row>
    <row r="1199" spans="3:28" ht="12.75">
      <c r="C1199" s="16"/>
      <c r="D1199" s="16"/>
      <c r="E1199" s="16"/>
      <c r="F1199" s="16"/>
      <c r="G1199" s="16"/>
      <c r="H1199" s="16"/>
      <c r="I1199" s="16"/>
      <c r="J1199" s="16"/>
      <c r="K1199" s="16"/>
      <c r="L1199" s="16"/>
      <c r="M1199" s="16"/>
      <c r="N1199" s="16"/>
      <c r="O1199" s="16"/>
      <c r="P1199" s="16"/>
      <c r="Q1199" s="16"/>
      <c r="R1199" s="16"/>
      <c r="S1199" s="16"/>
      <c r="T1199" s="16"/>
      <c r="U1199" s="16"/>
      <c r="V1199" s="16"/>
      <c r="W1199" s="16"/>
      <c r="X1199" s="16"/>
      <c r="Y1199" s="16"/>
      <c r="Z1199" s="16"/>
      <c r="AA1199" s="16"/>
      <c r="AB1199" s="16"/>
    </row>
    <row r="1200" spans="3:28" ht="12.75">
      <c r="C1200" s="16"/>
      <c r="D1200" s="16"/>
      <c r="E1200" s="16"/>
      <c r="F1200" s="16"/>
      <c r="G1200" s="16"/>
      <c r="H1200" s="16"/>
      <c r="I1200" s="16"/>
      <c r="J1200" s="16"/>
      <c r="K1200" s="16"/>
      <c r="L1200" s="16"/>
      <c r="M1200" s="16"/>
      <c r="N1200" s="16"/>
      <c r="O1200" s="16"/>
      <c r="P1200" s="16"/>
      <c r="Q1200" s="16"/>
      <c r="R1200" s="16"/>
      <c r="S1200" s="16"/>
      <c r="T1200" s="16"/>
      <c r="U1200" s="16"/>
      <c r="V1200" s="16"/>
      <c r="W1200" s="16"/>
      <c r="X1200" s="16"/>
      <c r="Y1200" s="16"/>
      <c r="Z1200" s="16"/>
      <c r="AA1200" s="16"/>
      <c r="AB1200" s="16"/>
    </row>
    <row r="1201" spans="3:28" ht="12.75">
      <c r="C1201" s="16"/>
      <c r="D1201" s="16"/>
      <c r="E1201" s="16"/>
      <c r="F1201" s="16"/>
      <c r="G1201" s="16"/>
      <c r="H1201" s="16"/>
      <c r="I1201" s="16"/>
      <c r="J1201" s="16"/>
      <c r="K1201" s="16"/>
      <c r="L1201" s="16"/>
      <c r="M1201" s="16"/>
      <c r="N1201" s="16"/>
      <c r="O1201" s="16"/>
      <c r="P1201" s="16"/>
      <c r="Q1201" s="16"/>
      <c r="R1201" s="16"/>
      <c r="S1201" s="16"/>
      <c r="T1201" s="16"/>
      <c r="U1201" s="16"/>
      <c r="V1201" s="16"/>
      <c r="W1201" s="16"/>
      <c r="X1201" s="16"/>
      <c r="Y1201" s="16"/>
      <c r="Z1201" s="16"/>
      <c r="AA1201" s="16"/>
      <c r="AB1201" s="16"/>
    </row>
    <row r="1202" spans="3:28" ht="12.75">
      <c r="C1202" s="16"/>
      <c r="D1202" s="16"/>
      <c r="E1202" s="16"/>
      <c r="F1202" s="16"/>
      <c r="G1202" s="16"/>
      <c r="H1202" s="16"/>
      <c r="I1202" s="16"/>
      <c r="J1202" s="16"/>
      <c r="K1202" s="16"/>
      <c r="L1202" s="16"/>
      <c r="M1202" s="16"/>
      <c r="N1202" s="16"/>
      <c r="O1202" s="16"/>
      <c r="P1202" s="16"/>
      <c r="Q1202" s="16"/>
      <c r="R1202" s="16"/>
      <c r="S1202" s="16"/>
      <c r="T1202" s="16"/>
      <c r="U1202" s="16"/>
      <c r="V1202" s="16"/>
      <c r="W1202" s="16"/>
      <c r="X1202" s="16"/>
      <c r="Y1202" s="16"/>
      <c r="Z1202" s="16"/>
      <c r="AA1202" s="16"/>
      <c r="AB1202" s="16"/>
    </row>
    <row r="1203" spans="3:28" ht="12.75">
      <c r="C1203" s="16"/>
      <c r="D1203" s="16"/>
      <c r="E1203" s="16"/>
      <c r="F1203" s="16"/>
      <c r="G1203" s="16"/>
      <c r="H1203" s="16"/>
      <c r="I1203" s="16"/>
      <c r="J1203" s="16"/>
      <c r="K1203" s="16"/>
      <c r="L1203" s="16"/>
      <c r="M1203" s="16"/>
      <c r="N1203" s="16"/>
      <c r="O1203" s="16"/>
      <c r="P1203" s="16"/>
      <c r="Q1203" s="16"/>
      <c r="R1203" s="16"/>
      <c r="S1203" s="16"/>
      <c r="T1203" s="16"/>
      <c r="U1203" s="16"/>
      <c r="V1203" s="16"/>
      <c r="W1203" s="16"/>
      <c r="X1203" s="16"/>
      <c r="Y1203" s="16"/>
      <c r="Z1203" s="16"/>
      <c r="AA1203" s="16"/>
      <c r="AB1203" s="16"/>
    </row>
    <row r="1204" spans="3:28" ht="12.75">
      <c r="C1204" s="16"/>
      <c r="D1204" s="16"/>
      <c r="E1204" s="16"/>
      <c r="F1204" s="16"/>
      <c r="G1204" s="16"/>
      <c r="H1204" s="16"/>
      <c r="I1204" s="16"/>
      <c r="J1204" s="16"/>
      <c r="K1204" s="16"/>
      <c r="L1204" s="16"/>
      <c r="M1204" s="16"/>
      <c r="N1204" s="16"/>
      <c r="O1204" s="16"/>
      <c r="P1204" s="16"/>
      <c r="Q1204" s="16"/>
      <c r="R1204" s="16"/>
      <c r="S1204" s="16"/>
      <c r="T1204" s="16"/>
      <c r="U1204" s="16"/>
      <c r="V1204" s="16"/>
      <c r="W1204" s="16"/>
      <c r="X1204" s="16"/>
      <c r="Y1204" s="16"/>
      <c r="Z1204" s="16"/>
      <c r="AA1204" s="16"/>
      <c r="AB1204" s="16"/>
    </row>
    <row r="1205" spans="3:28" ht="12.75">
      <c r="C1205" s="16"/>
      <c r="D1205" s="16"/>
      <c r="E1205" s="16"/>
      <c r="F1205" s="16"/>
      <c r="G1205" s="16"/>
      <c r="H1205" s="16"/>
      <c r="I1205" s="16"/>
      <c r="J1205" s="16"/>
      <c r="K1205" s="16"/>
      <c r="L1205" s="16"/>
      <c r="M1205" s="16"/>
      <c r="N1205" s="16"/>
      <c r="O1205" s="16"/>
      <c r="P1205" s="16"/>
      <c r="Q1205" s="16"/>
      <c r="R1205" s="16"/>
      <c r="S1205" s="16"/>
      <c r="T1205" s="16"/>
      <c r="U1205" s="16"/>
      <c r="V1205" s="16"/>
      <c r="W1205" s="16"/>
      <c r="X1205" s="16"/>
      <c r="Y1205" s="16"/>
      <c r="Z1205" s="16"/>
      <c r="AA1205" s="16"/>
      <c r="AB1205" s="16"/>
    </row>
    <row r="1206" spans="3:28" ht="12.75">
      <c r="C1206" s="16"/>
      <c r="D1206" s="16"/>
      <c r="E1206" s="16"/>
      <c r="F1206" s="16"/>
      <c r="G1206" s="16"/>
      <c r="H1206" s="16"/>
      <c r="I1206" s="16"/>
      <c r="J1206" s="16"/>
      <c r="K1206" s="16"/>
      <c r="L1206" s="16"/>
      <c r="M1206" s="16"/>
      <c r="N1206" s="16"/>
      <c r="O1206" s="16"/>
      <c r="P1206" s="16"/>
      <c r="Q1206" s="16"/>
      <c r="R1206" s="16"/>
      <c r="S1206" s="16"/>
      <c r="T1206" s="16"/>
      <c r="U1206" s="16"/>
      <c r="V1206" s="16"/>
      <c r="W1206" s="16"/>
      <c r="X1206" s="16"/>
      <c r="Y1206" s="16"/>
      <c r="Z1206" s="16"/>
      <c r="AA1206" s="16"/>
      <c r="AB1206" s="16"/>
    </row>
    <row r="1207" spans="3:28" ht="12.75">
      <c r="C1207" s="16"/>
      <c r="D1207" s="16"/>
      <c r="E1207" s="16"/>
      <c r="F1207" s="16"/>
      <c r="G1207" s="16"/>
      <c r="H1207" s="16"/>
      <c r="I1207" s="16"/>
      <c r="J1207" s="16"/>
      <c r="K1207" s="16"/>
      <c r="L1207" s="16"/>
      <c r="M1207" s="16"/>
      <c r="N1207" s="16"/>
      <c r="O1207" s="16"/>
      <c r="P1207" s="16"/>
      <c r="Q1207" s="16"/>
      <c r="R1207" s="16"/>
      <c r="S1207" s="16"/>
      <c r="T1207" s="16"/>
      <c r="U1207" s="16"/>
      <c r="V1207" s="16"/>
      <c r="W1207" s="16"/>
      <c r="X1207" s="16"/>
      <c r="Y1207" s="16"/>
      <c r="Z1207" s="16"/>
      <c r="AA1207" s="16"/>
      <c r="AB1207" s="16"/>
    </row>
    <row r="1208" spans="3:28" ht="12.75">
      <c r="C1208" s="16"/>
      <c r="D1208" s="16"/>
      <c r="E1208" s="16"/>
      <c r="F1208" s="16"/>
      <c r="G1208" s="16"/>
      <c r="H1208" s="16"/>
      <c r="I1208" s="16"/>
      <c r="J1208" s="16"/>
      <c r="K1208" s="16"/>
      <c r="L1208" s="16"/>
      <c r="M1208" s="16"/>
      <c r="N1208" s="16"/>
      <c r="O1208" s="16"/>
      <c r="P1208" s="16"/>
      <c r="Q1208" s="16"/>
      <c r="R1208" s="16"/>
      <c r="S1208" s="16"/>
      <c r="T1208" s="16"/>
      <c r="U1208" s="16"/>
      <c r="V1208" s="16"/>
      <c r="W1208" s="16"/>
      <c r="X1208" s="16"/>
      <c r="Y1208" s="16"/>
      <c r="Z1208" s="16"/>
      <c r="AA1208" s="16"/>
      <c r="AB1208" s="16"/>
    </row>
    <row r="1209" spans="3:28" ht="12.75">
      <c r="C1209" s="16"/>
      <c r="D1209" s="16"/>
      <c r="E1209" s="16"/>
      <c r="F1209" s="16"/>
      <c r="G1209" s="16"/>
      <c r="H1209" s="16"/>
      <c r="I1209" s="16"/>
      <c r="J1209" s="16"/>
      <c r="K1209" s="16"/>
      <c r="L1209" s="16"/>
      <c r="M1209" s="16"/>
      <c r="N1209" s="16"/>
      <c r="O1209" s="16"/>
      <c r="P1209" s="16"/>
      <c r="Q1209" s="16"/>
      <c r="R1209" s="16"/>
      <c r="S1209" s="16"/>
      <c r="T1209" s="16"/>
      <c r="U1209" s="16"/>
      <c r="V1209" s="16"/>
      <c r="W1209" s="16"/>
      <c r="X1209" s="16"/>
      <c r="Y1209" s="16"/>
      <c r="Z1209" s="16"/>
      <c r="AA1209" s="16"/>
      <c r="AB1209" s="16"/>
    </row>
    <row r="1210" spans="3:28" ht="12.75">
      <c r="C1210" s="16"/>
      <c r="D1210" s="16"/>
      <c r="E1210" s="16"/>
      <c r="F1210" s="16"/>
      <c r="G1210" s="16"/>
      <c r="H1210" s="16"/>
      <c r="I1210" s="16"/>
      <c r="J1210" s="16"/>
      <c r="K1210" s="16"/>
      <c r="L1210" s="16"/>
      <c r="M1210" s="16"/>
      <c r="N1210" s="16"/>
      <c r="O1210" s="16"/>
      <c r="P1210" s="16"/>
      <c r="Q1210" s="16"/>
      <c r="R1210" s="16"/>
      <c r="S1210" s="16"/>
      <c r="T1210" s="16"/>
      <c r="U1210" s="16"/>
      <c r="V1210" s="16"/>
      <c r="W1210" s="16"/>
      <c r="X1210" s="16"/>
      <c r="Y1210" s="16"/>
      <c r="Z1210" s="16"/>
      <c r="AA1210" s="16"/>
      <c r="AB1210" s="16"/>
    </row>
    <row r="1211" spans="3:28" ht="12.75">
      <c r="C1211" s="16"/>
      <c r="D1211" s="16"/>
      <c r="E1211" s="16"/>
      <c r="F1211" s="16"/>
      <c r="G1211" s="16"/>
      <c r="H1211" s="16"/>
      <c r="I1211" s="16"/>
      <c r="J1211" s="16"/>
      <c r="K1211" s="16"/>
      <c r="L1211" s="16"/>
      <c r="M1211" s="16"/>
      <c r="N1211" s="16"/>
      <c r="O1211" s="16"/>
      <c r="P1211" s="16"/>
      <c r="Q1211" s="16"/>
      <c r="R1211" s="16"/>
      <c r="S1211" s="16"/>
      <c r="T1211" s="16"/>
      <c r="U1211" s="16"/>
      <c r="V1211" s="16"/>
      <c r="W1211" s="16"/>
      <c r="X1211" s="16"/>
      <c r="Y1211" s="16"/>
      <c r="Z1211" s="16"/>
      <c r="AA1211" s="16"/>
      <c r="AB1211" s="16"/>
    </row>
    <row r="1212" spans="3:28" ht="12.75">
      <c r="C1212" s="16"/>
      <c r="D1212" s="16"/>
      <c r="E1212" s="16"/>
      <c r="F1212" s="16"/>
      <c r="G1212" s="16"/>
      <c r="H1212" s="16"/>
      <c r="I1212" s="16"/>
      <c r="J1212" s="16"/>
      <c r="K1212" s="16"/>
      <c r="L1212" s="16"/>
      <c r="M1212" s="16"/>
      <c r="N1212" s="16"/>
      <c r="O1212" s="16"/>
      <c r="P1212" s="16"/>
      <c r="Q1212" s="16"/>
      <c r="R1212" s="16"/>
      <c r="S1212" s="16"/>
      <c r="T1212" s="16"/>
      <c r="U1212" s="16"/>
      <c r="V1212" s="16"/>
      <c r="W1212" s="16"/>
      <c r="X1212" s="16"/>
      <c r="Y1212" s="16"/>
      <c r="Z1212" s="16"/>
      <c r="AA1212" s="16"/>
      <c r="AB1212" s="16"/>
    </row>
    <row r="1213" spans="3:28" ht="12.75">
      <c r="C1213" s="16"/>
      <c r="D1213" s="16"/>
      <c r="E1213" s="16"/>
      <c r="F1213" s="16"/>
      <c r="G1213" s="16"/>
      <c r="H1213" s="16"/>
      <c r="I1213" s="16"/>
      <c r="J1213" s="16"/>
      <c r="K1213" s="16"/>
      <c r="L1213" s="16"/>
      <c r="M1213" s="16"/>
      <c r="N1213" s="16"/>
      <c r="O1213" s="16"/>
      <c r="P1213" s="16"/>
      <c r="Q1213" s="16"/>
      <c r="R1213" s="16"/>
      <c r="S1213" s="16"/>
      <c r="T1213" s="16"/>
      <c r="U1213" s="16"/>
      <c r="V1213" s="16"/>
      <c r="W1213" s="16"/>
      <c r="X1213" s="16"/>
      <c r="Y1213" s="16"/>
      <c r="Z1213" s="16"/>
      <c r="AA1213" s="16"/>
      <c r="AB1213" s="16"/>
    </row>
    <row r="1214" spans="3:28" ht="12.75">
      <c r="C1214" s="16"/>
      <c r="D1214" s="16"/>
      <c r="E1214" s="16"/>
      <c r="F1214" s="16"/>
      <c r="G1214" s="16"/>
      <c r="H1214" s="16"/>
      <c r="I1214" s="16"/>
      <c r="J1214" s="16"/>
      <c r="K1214" s="16"/>
      <c r="L1214" s="16"/>
      <c r="M1214" s="16"/>
      <c r="N1214" s="16"/>
      <c r="O1214" s="16"/>
      <c r="P1214" s="16"/>
      <c r="Q1214" s="16"/>
      <c r="R1214" s="16"/>
      <c r="S1214" s="16"/>
      <c r="T1214" s="16"/>
      <c r="U1214" s="16"/>
      <c r="V1214" s="16"/>
      <c r="W1214" s="16"/>
      <c r="X1214" s="16"/>
      <c r="Y1214" s="16"/>
      <c r="Z1214" s="16"/>
      <c r="AA1214" s="16"/>
      <c r="AB1214" s="16"/>
    </row>
    <row r="1215" spans="3:28" ht="12.75">
      <c r="C1215" s="16"/>
      <c r="D1215" s="16"/>
      <c r="E1215" s="16"/>
      <c r="F1215" s="16"/>
      <c r="G1215" s="16"/>
      <c r="H1215" s="16"/>
      <c r="I1215" s="16"/>
      <c r="J1215" s="16"/>
      <c r="K1215" s="16"/>
      <c r="L1215" s="16"/>
      <c r="M1215" s="16"/>
      <c r="N1215" s="16"/>
      <c r="O1215" s="16"/>
      <c r="P1215" s="16"/>
      <c r="Q1215" s="16"/>
      <c r="R1215" s="16"/>
      <c r="S1215" s="16"/>
      <c r="T1215" s="16"/>
      <c r="U1215" s="16"/>
      <c r="V1215" s="16"/>
      <c r="W1215" s="16"/>
      <c r="X1215" s="16"/>
      <c r="Y1215" s="16"/>
      <c r="Z1215" s="16"/>
      <c r="AA1215" s="16"/>
      <c r="AB1215" s="16"/>
    </row>
    <row r="1216" spans="3:28" ht="12.75">
      <c r="C1216" s="16"/>
      <c r="D1216" s="16"/>
      <c r="E1216" s="16"/>
      <c r="F1216" s="16"/>
      <c r="G1216" s="16"/>
      <c r="H1216" s="16"/>
      <c r="I1216" s="16"/>
      <c r="J1216" s="16"/>
      <c r="K1216" s="16"/>
      <c r="L1216" s="16"/>
      <c r="M1216" s="16"/>
      <c r="N1216" s="16"/>
      <c r="O1216" s="16"/>
      <c r="P1216" s="16"/>
      <c r="Q1216" s="16"/>
      <c r="R1216" s="16"/>
      <c r="S1216" s="16"/>
      <c r="T1216" s="16"/>
      <c r="U1216" s="16"/>
      <c r="V1216" s="16"/>
      <c r="W1216" s="16"/>
      <c r="X1216" s="16"/>
      <c r="Y1216" s="16"/>
      <c r="Z1216" s="16"/>
      <c r="AA1216" s="16"/>
      <c r="AB1216" s="16"/>
    </row>
    <row r="1217" spans="3:28" ht="12.75">
      <c r="C1217" s="16"/>
      <c r="D1217" s="16"/>
      <c r="E1217" s="16"/>
      <c r="F1217" s="16"/>
      <c r="G1217" s="16"/>
      <c r="H1217" s="16"/>
      <c r="I1217" s="16"/>
      <c r="J1217" s="16"/>
      <c r="K1217" s="16"/>
      <c r="L1217" s="16"/>
      <c r="M1217" s="16"/>
      <c r="N1217" s="16"/>
      <c r="O1217" s="16"/>
      <c r="P1217" s="16"/>
      <c r="Q1217" s="16"/>
      <c r="R1217" s="16"/>
      <c r="S1217" s="16"/>
      <c r="T1217" s="16"/>
      <c r="U1217" s="16"/>
      <c r="V1217" s="16"/>
      <c r="W1217" s="16"/>
      <c r="X1217" s="16"/>
      <c r="Y1217" s="16"/>
      <c r="Z1217" s="16"/>
      <c r="AA1217" s="16"/>
      <c r="AB1217" s="16"/>
    </row>
    <row r="1218" spans="3:28" ht="12.75">
      <c r="C1218" s="16"/>
      <c r="D1218" s="16"/>
      <c r="E1218" s="16"/>
      <c r="F1218" s="16"/>
      <c r="G1218" s="16"/>
      <c r="H1218" s="16"/>
      <c r="I1218" s="16"/>
      <c r="J1218" s="16"/>
      <c r="K1218" s="16"/>
      <c r="L1218" s="16"/>
      <c r="M1218" s="16"/>
      <c r="N1218" s="16"/>
      <c r="O1218" s="16"/>
      <c r="P1218" s="16"/>
      <c r="Q1218" s="16"/>
      <c r="R1218" s="16"/>
      <c r="S1218" s="16"/>
      <c r="T1218" s="16"/>
      <c r="U1218" s="16"/>
      <c r="V1218" s="16"/>
      <c r="W1218" s="16"/>
      <c r="X1218" s="16"/>
      <c r="Y1218" s="16"/>
      <c r="Z1218" s="16"/>
      <c r="AA1218" s="16"/>
      <c r="AB1218" s="16"/>
    </row>
    <row r="1219" spans="3:28" ht="12.75">
      <c r="C1219" s="16"/>
      <c r="D1219" s="16"/>
      <c r="E1219" s="16"/>
      <c r="F1219" s="16"/>
      <c r="G1219" s="16"/>
      <c r="H1219" s="16"/>
      <c r="I1219" s="16"/>
      <c r="J1219" s="16"/>
      <c r="K1219" s="16"/>
      <c r="L1219" s="16"/>
      <c r="M1219" s="16"/>
      <c r="N1219" s="16"/>
      <c r="O1219" s="16"/>
      <c r="P1219" s="16"/>
      <c r="Q1219" s="16"/>
      <c r="R1219" s="16"/>
      <c r="S1219" s="16"/>
      <c r="T1219" s="16"/>
      <c r="U1219" s="16"/>
      <c r="V1219" s="16"/>
      <c r="W1219" s="16"/>
      <c r="X1219" s="16"/>
      <c r="Y1219" s="16"/>
      <c r="Z1219" s="16"/>
      <c r="AA1219" s="16"/>
      <c r="AB1219" s="16"/>
    </row>
    <row r="1220" spans="3:28" ht="12.75">
      <c r="C1220" s="16"/>
      <c r="D1220" s="16"/>
      <c r="E1220" s="16"/>
      <c r="F1220" s="16"/>
      <c r="G1220" s="16"/>
      <c r="H1220" s="16"/>
      <c r="I1220" s="16"/>
      <c r="J1220" s="16"/>
      <c r="K1220" s="16"/>
      <c r="L1220" s="16"/>
      <c r="M1220" s="16"/>
      <c r="N1220" s="16"/>
      <c r="O1220" s="16"/>
      <c r="P1220" s="16"/>
      <c r="Q1220" s="16"/>
      <c r="R1220" s="16"/>
      <c r="S1220" s="16"/>
      <c r="T1220" s="16"/>
      <c r="U1220" s="16"/>
      <c r="V1220" s="16"/>
      <c r="W1220" s="16"/>
      <c r="X1220" s="16"/>
      <c r="Y1220" s="16"/>
      <c r="Z1220" s="16"/>
      <c r="AA1220" s="16"/>
      <c r="AB1220" s="16"/>
    </row>
    <row r="1221" spans="3:28" ht="12.75">
      <c r="C1221" s="16"/>
      <c r="D1221" s="16"/>
      <c r="E1221" s="16"/>
      <c r="F1221" s="16"/>
      <c r="G1221" s="16"/>
      <c r="H1221" s="16"/>
      <c r="I1221" s="16"/>
      <c r="J1221" s="16"/>
      <c r="K1221" s="16"/>
      <c r="L1221" s="16"/>
      <c r="M1221" s="16"/>
      <c r="N1221" s="16"/>
      <c r="O1221" s="16"/>
      <c r="P1221" s="16"/>
      <c r="Q1221" s="16"/>
      <c r="R1221" s="16"/>
      <c r="S1221" s="16"/>
      <c r="T1221" s="16"/>
      <c r="U1221" s="16"/>
      <c r="V1221" s="16"/>
      <c r="W1221" s="16"/>
      <c r="X1221" s="16"/>
      <c r="Y1221" s="16"/>
      <c r="Z1221" s="16"/>
      <c r="AA1221" s="16"/>
      <c r="AB1221" s="16"/>
    </row>
    <row r="1222" spans="3:28" ht="12.75">
      <c r="C1222" s="16"/>
      <c r="D1222" s="16"/>
      <c r="E1222" s="16"/>
      <c r="F1222" s="16"/>
      <c r="G1222" s="16"/>
      <c r="H1222" s="16"/>
      <c r="I1222" s="16"/>
      <c r="J1222" s="16"/>
      <c r="K1222" s="16"/>
      <c r="L1222" s="16"/>
      <c r="M1222" s="16"/>
      <c r="N1222" s="16"/>
      <c r="O1222" s="16"/>
      <c r="P1222" s="16"/>
      <c r="Q1222" s="16"/>
      <c r="R1222" s="16"/>
      <c r="S1222" s="16"/>
      <c r="T1222" s="16"/>
      <c r="U1222" s="16"/>
      <c r="V1222" s="16"/>
      <c r="W1222" s="16"/>
      <c r="X1222" s="16"/>
      <c r="Y1222" s="16"/>
      <c r="Z1222" s="16"/>
      <c r="AA1222" s="16"/>
      <c r="AB1222" s="16"/>
    </row>
    <row r="1223" spans="3:28" ht="12.75">
      <c r="C1223" s="16"/>
      <c r="D1223" s="16"/>
      <c r="E1223" s="16"/>
      <c r="F1223" s="16"/>
      <c r="G1223" s="16"/>
      <c r="H1223" s="16"/>
      <c r="I1223" s="16"/>
      <c r="J1223" s="16"/>
      <c r="K1223" s="16"/>
      <c r="L1223" s="16"/>
      <c r="M1223" s="16"/>
      <c r="N1223" s="16"/>
      <c r="O1223" s="16"/>
      <c r="P1223" s="16"/>
      <c r="Q1223" s="16"/>
      <c r="R1223" s="16"/>
      <c r="S1223" s="16"/>
      <c r="T1223" s="16"/>
      <c r="U1223" s="16"/>
      <c r="V1223" s="16"/>
      <c r="W1223" s="16"/>
      <c r="X1223" s="16"/>
      <c r="Y1223" s="16"/>
      <c r="Z1223" s="16"/>
      <c r="AA1223" s="16"/>
      <c r="AB1223" s="16"/>
    </row>
    <row r="1224" spans="3:28" ht="12.75">
      <c r="C1224" s="16"/>
      <c r="D1224" s="16"/>
      <c r="E1224" s="16"/>
      <c r="F1224" s="16"/>
      <c r="G1224" s="16"/>
      <c r="H1224" s="16"/>
      <c r="I1224" s="16"/>
      <c r="J1224" s="16"/>
      <c r="K1224" s="16"/>
      <c r="L1224" s="16"/>
      <c r="M1224" s="16"/>
      <c r="N1224" s="16"/>
      <c r="O1224" s="16"/>
      <c r="P1224" s="16"/>
      <c r="Q1224" s="16"/>
      <c r="R1224" s="16"/>
      <c r="S1224" s="16"/>
      <c r="T1224" s="16"/>
      <c r="U1224" s="16"/>
      <c r="V1224" s="16"/>
      <c r="W1224" s="16"/>
      <c r="X1224" s="16"/>
      <c r="Y1224" s="16"/>
      <c r="Z1224" s="16"/>
      <c r="AA1224" s="16"/>
      <c r="AB1224" s="16"/>
    </row>
    <row r="1225" spans="3:28" ht="12.75">
      <c r="C1225" s="16"/>
      <c r="D1225" s="16"/>
      <c r="E1225" s="16"/>
      <c r="F1225" s="16"/>
      <c r="G1225" s="16"/>
      <c r="H1225" s="16"/>
      <c r="I1225" s="16"/>
      <c r="J1225" s="16"/>
      <c r="K1225" s="16"/>
      <c r="L1225" s="16"/>
      <c r="M1225" s="16"/>
      <c r="N1225" s="16"/>
      <c r="O1225" s="16"/>
      <c r="P1225" s="16"/>
      <c r="Q1225" s="16"/>
      <c r="R1225" s="16"/>
      <c r="S1225" s="16"/>
      <c r="T1225" s="16"/>
      <c r="U1225" s="16"/>
      <c r="V1225" s="16"/>
      <c r="W1225" s="16"/>
      <c r="X1225" s="16"/>
      <c r="Y1225" s="16"/>
      <c r="Z1225" s="16"/>
      <c r="AA1225" s="16"/>
      <c r="AB1225" s="16"/>
    </row>
    <row r="1226" spans="3:28" ht="12.75">
      <c r="C1226" s="16"/>
      <c r="D1226" s="16"/>
      <c r="E1226" s="16"/>
      <c r="F1226" s="16"/>
      <c r="G1226" s="16"/>
      <c r="H1226" s="16"/>
      <c r="I1226" s="16"/>
      <c r="J1226" s="16"/>
      <c r="K1226" s="16"/>
      <c r="L1226" s="16"/>
      <c r="M1226" s="16"/>
      <c r="N1226" s="16"/>
      <c r="O1226" s="16"/>
      <c r="P1226" s="16"/>
      <c r="Q1226" s="16"/>
      <c r="R1226" s="16"/>
      <c r="S1226" s="16"/>
      <c r="T1226" s="16"/>
      <c r="U1226" s="16"/>
      <c r="V1226" s="16"/>
      <c r="W1226" s="16"/>
      <c r="X1226" s="16"/>
      <c r="Y1226" s="16"/>
      <c r="Z1226" s="16"/>
      <c r="AA1226" s="16"/>
      <c r="AB1226" s="16"/>
    </row>
    <row r="1227" spans="3:28" ht="12.75">
      <c r="C1227" s="16"/>
      <c r="D1227" s="16"/>
      <c r="E1227" s="16"/>
      <c r="F1227" s="16"/>
      <c r="G1227" s="16"/>
      <c r="H1227" s="16"/>
      <c r="I1227" s="16"/>
      <c r="J1227" s="16"/>
      <c r="K1227" s="16"/>
      <c r="L1227" s="16"/>
      <c r="M1227" s="16"/>
      <c r="N1227" s="16"/>
      <c r="O1227" s="16"/>
      <c r="P1227" s="16"/>
      <c r="Q1227" s="16"/>
      <c r="R1227" s="16"/>
      <c r="S1227" s="16"/>
      <c r="T1227" s="16"/>
      <c r="U1227" s="16"/>
      <c r="V1227" s="16"/>
      <c r="W1227" s="16"/>
      <c r="X1227" s="16"/>
      <c r="Y1227" s="16"/>
      <c r="Z1227" s="16"/>
      <c r="AA1227" s="16"/>
      <c r="AB1227" s="16"/>
    </row>
    <row r="1228" spans="3:28" ht="12.75">
      <c r="C1228" s="16"/>
      <c r="D1228" s="16"/>
      <c r="E1228" s="16"/>
      <c r="F1228" s="16"/>
      <c r="G1228" s="16"/>
      <c r="H1228" s="16"/>
      <c r="I1228" s="16"/>
      <c r="J1228" s="16"/>
      <c r="K1228" s="16"/>
      <c r="L1228" s="16"/>
      <c r="M1228" s="16"/>
      <c r="N1228" s="16"/>
      <c r="O1228" s="16"/>
      <c r="P1228" s="16"/>
      <c r="Q1228" s="16"/>
      <c r="R1228" s="16"/>
      <c r="S1228" s="16"/>
      <c r="T1228" s="16"/>
      <c r="U1228" s="16"/>
      <c r="V1228" s="16"/>
      <c r="W1228" s="16"/>
      <c r="X1228" s="16"/>
      <c r="Y1228" s="16"/>
      <c r="Z1228" s="16"/>
      <c r="AA1228" s="16"/>
      <c r="AB1228" s="16"/>
    </row>
    <row r="1229" spans="3:28" ht="12.75">
      <c r="C1229" s="16"/>
      <c r="D1229" s="16"/>
      <c r="E1229" s="16"/>
      <c r="F1229" s="16"/>
      <c r="G1229" s="16"/>
      <c r="H1229" s="16"/>
      <c r="I1229" s="16"/>
      <c r="J1229" s="16"/>
      <c r="K1229" s="16"/>
      <c r="L1229" s="16"/>
      <c r="M1229" s="16"/>
      <c r="N1229" s="16"/>
      <c r="O1229" s="16"/>
      <c r="P1229" s="16"/>
      <c r="Q1229" s="16"/>
      <c r="R1229" s="16"/>
      <c r="S1229" s="16"/>
      <c r="T1229" s="16"/>
      <c r="U1229" s="16"/>
      <c r="V1229" s="16"/>
      <c r="W1229" s="16"/>
      <c r="X1229" s="16"/>
      <c r="Y1229" s="16"/>
      <c r="Z1229" s="16"/>
      <c r="AA1229" s="16"/>
      <c r="AB1229" s="16"/>
    </row>
    <row r="1230" spans="3:28" ht="12.75">
      <c r="C1230" s="16"/>
      <c r="D1230" s="16"/>
      <c r="E1230" s="16"/>
      <c r="F1230" s="16"/>
      <c r="G1230" s="16"/>
      <c r="H1230" s="16"/>
      <c r="I1230" s="16"/>
      <c r="J1230" s="16"/>
      <c r="K1230" s="16"/>
      <c r="L1230" s="16"/>
      <c r="M1230" s="16"/>
      <c r="N1230" s="16"/>
      <c r="O1230" s="16"/>
      <c r="P1230" s="16"/>
      <c r="Q1230" s="16"/>
      <c r="R1230" s="16"/>
      <c r="S1230" s="16"/>
      <c r="T1230" s="16"/>
      <c r="U1230" s="16"/>
      <c r="V1230" s="16"/>
      <c r="W1230" s="16"/>
      <c r="X1230" s="16"/>
      <c r="Y1230" s="16"/>
      <c r="Z1230" s="16"/>
      <c r="AA1230" s="16"/>
      <c r="AB1230" s="16"/>
    </row>
    <row r="1231" spans="3:28" ht="12.75">
      <c r="C1231" s="16"/>
      <c r="D1231" s="16"/>
      <c r="E1231" s="16"/>
      <c r="F1231" s="16"/>
      <c r="G1231" s="16"/>
      <c r="H1231" s="16"/>
      <c r="I1231" s="16"/>
      <c r="J1231" s="16"/>
      <c r="K1231" s="16"/>
      <c r="L1231" s="16"/>
      <c r="M1231" s="16"/>
      <c r="N1231" s="16"/>
      <c r="O1231" s="16"/>
      <c r="P1231" s="16"/>
      <c r="Q1231" s="16"/>
      <c r="R1231" s="16"/>
      <c r="S1231" s="16"/>
      <c r="T1231" s="16"/>
      <c r="U1231" s="16"/>
      <c r="V1231" s="16"/>
      <c r="W1231" s="16"/>
      <c r="X1231" s="16"/>
      <c r="Y1231" s="16"/>
      <c r="Z1231" s="16"/>
      <c r="AA1231" s="16"/>
      <c r="AB1231" s="16"/>
    </row>
    <row r="1232" spans="3:28" ht="12.75">
      <c r="C1232" s="16"/>
      <c r="D1232" s="16"/>
      <c r="E1232" s="16"/>
      <c r="F1232" s="16"/>
      <c r="G1232" s="16"/>
      <c r="H1232" s="16"/>
      <c r="I1232" s="16"/>
      <c r="J1232" s="16"/>
      <c r="K1232" s="16"/>
      <c r="L1232" s="16"/>
      <c r="M1232" s="16"/>
      <c r="N1232" s="16"/>
      <c r="O1232" s="16"/>
      <c r="P1232" s="16"/>
      <c r="Q1232" s="16"/>
      <c r="R1232" s="16"/>
      <c r="S1232" s="16"/>
      <c r="T1232" s="16"/>
      <c r="U1232" s="16"/>
      <c r="V1232" s="16"/>
      <c r="W1232" s="16"/>
      <c r="X1232" s="16"/>
      <c r="Y1232" s="16"/>
      <c r="Z1232" s="16"/>
      <c r="AA1232" s="16"/>
      <c r="AB1232" s="16"/>
    </row>
    <row r="1233" spans="3:28" ht="12.75">
      <c r="C1233" s="16"/>
      <c r="D1233" s="16"/>
      <c r="E1233" s="16"/>
      <c r="F1233" s="16"/>
      <c r="G1233" s="16"/>
      <c r="H1233" s="16"/>
      <c r="I1233" s="16"/>
      <c r="J1233" s="16"/>
      <c r="K1233" s="16"/>
      <c r="L1233" s="16"/>
      <c r="M1233" s="16"/>
      <c r="N1233" s="16"/>
      <c r="O1233" s="16"/>
      <c r="P1233" s="16"/>
      <c r="Q1233" s="16"/>
      <c r="R1233" s="16"/>
      <c r="S1233" s="16"/>
      <c r="T1233" s="16"/>
      <c r="U1233" s="16"/>
      <c r="V1233" s="16"/>
      <c r="W1233" s="16"/>
      <c r="X1233" s="16"/>
      <c r="Y1233" s="16"/>
      <c r="Z1233" s="16"/>
      <c r="AA1233" s="16"/>
      <c r="AB1233" s="16"/>
    </row>
    <row r="1234" spans="3:28" ht="12.75">
      <c r="C1234" s="16"/>
      <c r="D1234" s="16"/>
      <c r="E1234" s="16"/>
      <c r="F1234" s="16"/>
      <c r="G1234" s="16"/>
      <c r="H1234" s="16"/>
      <c r="I1234" s="16"/>
      <c r="J1234" s="16"/>
      <c r="K1234" s="16"/>
      <c r="L1234" s="16"/>
      <c r="M1234" s="16"/>
      <c r="N1234" s="16"/>
      <c r="O1234" s="16"/>
      <c r="P1234" s="16"/>
      <c r="Q1234" s="16"/>
      <c r="R1234" s="16"/>
      <c r="S1234" s="16"/>
      <c r="T1234" s="16"/>
      <c r="U1234" s="16"/>
      <c r="V1234" s="16"/>
      <c r="W1234" s="16"/>
      <c r="X1234" s="16"/>
      <c r="Y1234" s="16"/>
      <c r="Z1234" s="16"/>
      <c r="AA1234" s="16"/>
      <c r="AB1234" s="16"/>
    </row>
    <row r="1235" spans="3:28" ht="12.75">
      <c r="C1235" s="16"/>
      <c r="D1235" s="16"/>
      <c r="E1235" s="16"/>
      <c r="F1235" s="16"/>
      <c r="G1235" s="16"/>
      <c r="H1235" s="16"/>
      <c r="I1235" s="16"/>
      <c r="J1235" s="16"/>
      <c r="K1235" s="16"/>
      <c r="L1235" s="16"/>
      <c r="M1235" s="16"/>
      <c r="N1235" s="16"/>
      <c r="O1235" s="16"/>
      <c r="P1235" s="16"/>
      <c r="Q1235" s="16"/>
      <c r="R1235" s="16"/>
      <c r="S1235" s="16"/>
      <c r="T1235" s="16"/>
      <c r="U1235" s="16"/>
      <c r="V1235" s="16"/>
      <c r="W1235" s="16"/>
      <c r="X1235" s="16"/>
      <c r="Y1235" s="16"/>
      <c r="Z1235" s="16"/>
      <c r="AA1235" s="16"/>
      <c r="AB1235" s="16"/>
    </row>
    <row r="1236" spans="3:28" ht="12.75">
      <c r="C1236" s="16"/>
      <c r="D1236" s="16"/>
      <c r="E1236" s="16"/>
      <c r="F1236" s="16"/>
      <c r="G1236" s="16"/>
      <c r="H1236" s="16"/>
      <c r="I1236" s="16"/>
      <c r="J1236" s="16"/>
      <c r="K1236" s="16"/>
      <c r="L1236" s="16"/>
      <c r="M1236" s="16"/>
      <c r="N1236" s="16"/>
      <c r="O1236" s="16"/>
      <c r="P1236" s="16"/>
      <c r="Q1236" s="16"/>
      <c r="R1236" s="16"/>
      <c r="S1236" s="16"/>
      <c r="T1236" s="16"/>
      <c r="U1236" s="16"/>
      <c r="V1236" s="16"/>
      <c r="W1236" s="16"/>
      <c r="X1236" s="16"/>
      <c r="Y1236" s="16"/>
      <c r="Z1236" s="16"/>
      <c r="AA1236" s="16"/>
      <c r="AB1236" s="16"/>
    </row>
    <row r="1237" spans="3:28" ht="12.75">
      <c r="C1237" s="16"/>
      <c r="D1237" s="16"/>
      <c r="E1237" s="16"/>
      <c r="F1237" s="16"/>
      <c r="G1237" s="16"/>
      <c r="H1237" s="16"/>
      <c r="I1237" s="16"/>
      <c r="J1237" s="16"/>
      <c r="K1237" s="16"/>
      <c r="L1237" s="16"/>
      <c r="M1237" s="16"/>
      <c r="N1237" s="16"/>
      <c r="O1237" s="16"/>
      <c r="P1237" s="16"/>
      <c r="Q1237" s="16"/>
      <c r="R1237" s="16"/>
      <c r="S1237" s="16"/>
      <c r="T1237" s="16"/>
      <c r="U1237" s="16"/>
      <c r="V1237" s="16"/>
      <c r="W1237" s="16"/>
      <c r="X1237" s="16"/>
      <c r="Y1237" s="16"/>
      <c r="Z1237" s="16"/>
      <c r="AA1237" s="16"/>
      <c r="AB1237" s="16"/>
    </row>
    <row r="1238" spans="3:28" ht="12.75">
      <c r="C1238" s="16"/>
      <c r="D1238" s="16"/>
      <c r="E1238" s="16"/>
      <c r="F1238" s="16"/>
      <c r="G1238" s="16"/>
      <c r="H1238" s="16"/>
      <c r="I1238" s="16"/>
      <c r="J1238" s="16"/>
      <c r="K1238" s="16"/>
      <c r="L1238" s="16"/>
      <c r="M1238" s="16"/>
      <c r="N1238" s="16"/>
      <c r="O1238" s="16"/>
      <c r="P1238" s="16"/>
      <c r="Q1238" s="16"/>
      <c r="R1238" s="16"/>
      <c r="S1238" s="16"/>
      <c r="T1238" s="16"/>
      <c r="U1238" s="16"/>
      <c r="V1238" s="16"/>
      <c r="W1238" s="16"/>
      <c r="X1238" s="16"/>
      <c r="Y1238" s="16"/>
      <c r="Z1238" s="16"/>
      <c r="AA1238" s="16"/>
      <c r="AB1238" s="16"/>
    </row>
    <row r="1239" spans="3:28" ht="12.75">
      <c r="C1239" s="16"/>
      <c r="D1239" s="16"/>
      <c r="E1239" s="16"/>
      <c r="F1239" s="16"/>
      <c r="G1239" s="16"/>
      <c r="H1239" s="16"/>
      <c r="I1239" s="16"/>
      <c r="J1239" s="16"/>
      <c r="K1239" s="16"/>
      <c r="L1239" s="16"/>
      <c r="M1239" s="16"/>
      <c r="N1239" s="16"/>
      <c r="O1239" s="16"/>
      <c r="P1239" s="16"/>
      <c r="Q1239" s="16"/>
      <c r="R1239" s="16"/>
      <c r="S1239" s="16"/>
      <c r="T1239" s="16"/>
      <c r="U1239" s="16"/>
      <c r="V1239" s="16"/>
      <c r="W1239" s="16"/>
      <c r="X1239" s="16"/>
      <c r="Y1239" s="16"/>
      <c r="Z1239" s="16"/>
      <c r="AA1239" s="16"/>
      <c r="AB1239" s="16"/>
    </row>
    <row r="1240" spans="3:28" ht="12.75">
      <c r="C1240" s="16"/>
      <c r="D1240" s="16"/>
      <c r="E1240" s="16"/>
      <c r="F1240" s="16"/>
      <c r="G1240" s="16"/>
      <c r="H1240" s="16"/>
      <c r="I1240" s="16"/>
      <c r="J1240" s="16"/>
      <c r="K1240" s="16"/>
      <c r="L1240" s="16"/>
      <c r="M1240" s="16"/>
      <c r="N1240" s="16"/>
      <c r="O1240" s="16"/>
      <c r="P1240" s="16"/>
      <c r="Q1240" s="16"/>
      <c r="R1240" s="16"/>
      <c r="S1240" s="16"/>
      <c r="T1240" s="16"/>
      <c r="U1240" s="16"/>
      <c r="V1240" s="16"/>
      <c r="W1240" s="16"/>
      <c r="X1240" s="16"/>
      <c r="Y1240" s="16"/>
      <c r="Z1240" s="16"/>
      <c r="AA1240" s="16"/>
      <c r="AB1240" s="16"/>
    </row>
    <row r="1241" spans="3:28" ht="12.75">
      <c r="C1241" s="16"/>
      <c r="D1241" s="16"/>
      <c r="E1241" s="16"/>
      <c r="F1241" s="16"/>
      <c r="G1241" s="16"/>
      <c r="H1241" s="16"/>
      <c r="I1241" s="16"/>
      <c r="J1241" s="16"/>
      <c r="K1241" s="16"/>
      <c r="L1241" s="16"/>
      <c r="M1241" s="16"/>
      <c r="N1241" s="16"/>
      <c r="O1241" s="16"/>
      <c r="P1241" s="16"/>
      <c r="Q1241" s="16"/>
      <c r="R1241" s="16"/>
      <c r="S1241" s="16"/>
      <c r="T1241" s="16"/>
      <c r="U1241" s="16"/>
      <c r="V1241" s="16"/>
      <c r="W1241" s="16"/>
      <c r="X1241" s="16"/>
      <c r="Y1241" s="16"/>
      <c r="Z1241" s="16"/>
      <c r="AA1241" s="16"/>
      <c r="AB1241" s="16"/>
    </row>
    <row r="1242" spans="3:28" ht="12.75">
      <c r="C1242" s="16"/>
      <c r="D1242" s="16"/>
      <c r="E1242" s="16"/>
      <c r="F1242" s="16"/>
      <c r="G1242" s="16"/>
      <c r="H1242" s="16"/>
      <c r="I1242" s="16"/>
      <c r="J1242" s="16"/>
      <c r="K1242" s="16"/>
      <c r="L1242" s="16"/>
      <c r="M1242" s="16"/>
      <c r="N1242" s="16"/>
      <c r="O1242" s="16"/>
      <c r="P1242" s="16"/>
      <c r="Q1242" s="16"/>
      <c r="R1242" s="16"/>
      <c r="S1242" s="16"/>
      <c r="T1242" s="16"/>
      <c r="U1242" s="16"/>
      <c r="V1242" s="16"/>
      <c r="W1242" s="16"/>
      <c r="X1242" s="16"/>
      <c r="Y1242" s="16"/>
      <c r="Z1242" s="16"/>
      <c r="AA1242" s="16"/>
      <c r="AB1242" s="16"/>
    </row>
    <row r="1243" spans="3:28" ht="12.75">
      <c r="C1243" s="16"/>
      <c r="D1243" s="16"/>
      <c r="E1243" s="16"/>
      <c r="F1243" s="16"/>
      <c r="G1243" s="16"/>
      <c r="H1243" s="16"/>
      <c r="I1243" s="16"/>
      <c r="J1243" s="16"/>
      <c r="K1243" s="16"/>
      <c r="L1243" s="16"/>
      <c r="M1243" s="16"/>
      <c r="N1243" s="16"/>
      <c r="O1243" s="16"/>
      <c r="P1243" s="16"/>
      <c r="Q1243" s="16"/>
      <c r="R1243" s="16"/>
      <c r="S1243" s="16"/>
      <c r="T1243" s="16"/>
      <c r="U1243" s="16"/>
      <c r="V1243" s="16"/>
      <c r="W1243" s="16"/>
      <c r="X1243" s="16"/>
      <c r="Y1243" s="16"/>
      <c r="Z1243" s="16"/>
      <c r="AA1243" s="16"/>
      <c r="AB1243" s="16"/>
    </row>
    <row r="1244" spans="3:28" ht="12.75">
      <c r="C1244" s="16"/>
      <c r="D1244" s="16"/>
      <c r="E1244" s="16"/>
      <c r="F1244" s="16"/>
      <c r="G1244" s="16"/>
      <c r="H1244" s="16"/>
      <c r="I1244" s="16"/>
      <c r="J1244" s="16"/>
      <c r="K1244" s="16"/>
      <c r="L1244" s="16"/>
      <c r="M1244" s="16"/>
      <c r="N1244" s="16"/>
      <c r="O1244" s="16"/>
      <c r="P1244" s="16"/>
      <c r="Q1244" s="16"/>
      <c r="R1244" s="16"/>
      <c r="S1244" s="16"/>
      <c r="T1244" s="16"/>
      <c r="U1244" s="16"/>
      <c r="V1244" s="16"/>
      <c r="W1244" s="16"/>
      <c r="X1244" s="16"/>
      <c r="Y1244" s="16"/>
      <c r="Z1244" s="16"/>
      <c r="AA1244" s="16"/>
      <c r="AB1244" s="16"/>
    </row>
    <row r="1245" spans="3:28" ht="12.75">
      <c r="C1245" s="16"/>
      <c r="D1245" s="16"/>
      <c r="E1245" s="16"/>
      <c r="F1245" s="16"/>
      <c r="G1245" s="16"/>
      <c r="H1245" s="16"/>
      <c r="I1245" s="16"/>
      <c r="J1245" s="16"/>
      <c r="K1245" s="16"/>
      <c r="L1245" s="16"/>
      <c r="M1245" s="16"/>
      <c r="N1245" s="16"/>
      <c r="O1245" s="16"/>
      <c r="P1245" s="16"/>
      <c r="Q1245" s="16"/>
      <c r="R1245" s="16"/>
      <c r="S1245" s="16"/>
      <c r="T1245" s="16"/>
      <c r="U1245" s="16"/>
      <c r="V1245" s="16"/>
      <c r="W1245" s="16"/>
      <c r="X1245" s="16"/>
      <c r="Y1245" s="16"/>
      <c r="Z1245" s="16"/>
      <c r="AA1245" s="16"/>
      <c r="AB1245" s="16"/>
    </row>
    <row r="1246" spans="3:28" ht="12.75">
      <c r="C1246" s="16"/>
      <c r="D1246" s="16"/>
      <c r="E1246" s="16"/>
      <c r="F1246" s="16"/>
      <c r="G1246" s="16"/>
      <c r="H1246" s="16"/>
      <c r="I1246" s="16"/>
      <c r="J1246" s="16"/>
      <c r="K1246" s="16"/>
      <c r="L1246" s="16"/>
      <c r="M1246" s="16"/>
      <c r="N1246" s="16"/>
      <c r="O1246" s="16"/>
      <c r="P1246" s="16"/>
      <c r="Q1246" s="16"/>
      <c r="R1246" s="16"/>
      <c r="S1246" s="16"/>
      <c r="T1246" s="16"/>
      <c r="U1246" s="16"/>
      <c r="V1246" s="16"/>
      <c r="W1246" s="16"/>
      <c r="X1246" s="16"/>
      <c r="Y1246" s="16"/>
      <c r="Z1246" s="16"/>
      <c r="AA1246" s="16"/>
      <c r="AB1246" s="16"/>
    </row>
    <row r="1247" spans="3:28" ht="12.75">
      <c r="C1247" s="16"/>
      <c r="D1247" s="16"/>
      <c r="E1247" s="16"/>
      <c r="F1247" s="16"/>
      <c r="G1247" s="16"/>
      <c r="H1247" s="16"/>
      <c r="I1247" s="16"/>
      <c r="J1247" s="16"/>
      <c r="K1247" s="16"/>
      <c r="L1247" s="16"/>
      <c r="M1247" s="16"/>
      <c r="N1247" s="16"/>
      <c r="O1247" s="16"/>
      <c r="P1247" s="16"/>
      <c r="Q1247" s="16"/>
      <c r="R1247" s="16"/>
      <c r="S1247" s="16"/>
      <c r="T1247" s="16"/>
      <c r="U1247" s="16"/>
      <c r="V1247" s="16"/>
      <c r="W1247" s="16"/>
      <c r="X1247" s="16"/>
      <c r="Y1247" s="16"/>
      <c r="Z1247" s="16"/>
      <c r="AA1247" s="16"/>
      <c r="AB1247" s="16"/>
    </row>
    <row r="1248" spans="3:28" ht="12.75">
      <c r="C1248" s="16"/>
      <c r="D1248" s="16"/>
      <c r="E1248" s="16"/>
      <c r="F1248" s="16"/>
      <c r="G1248" s="16"/>
      <c r="H1248" s="16"/>
      <c r="I1248" s="16"/>
      <c r="J1248" s="16"/>
      <c r="K1248" s="16"/>
      <c r="L1248" s="16"/>
      <c r="M1248" s="16"/>
      <c r="N1248" s="16"/>
      <c r="O1248" s="16"/>
      <c r="P1248" s="16"/>
      <c r="Q1248" s="16"/>
      <c r="R1248" s="16"/>
      <c r="S1248" s="16"/>
      <c r="T1248" s="16"/>
      <c r="U1248" s="16"/>
      <c r="V1248" s="16"/>
      <c r="W1248" s="16"/>
      <c r="X1248" s="16"/>
      <c r="Y1248" s="16"/>
      <c r="Z1248" s="16"/>
      <c r="AA1248" s="16"/>
      <c r="AB1248" s="16"/>
    </row>
    <row r="1249" spans="3:28" ht="12.75">
      <c r="C1249" s="16"/>
      <c r="D1249" s="16"/>
      <c r="E1249" s="16"/>
      <c r="F1249" s="16"/>
      <c r="G1249" s="16"/>
      <c r="H1249" s="16"/>
      <c r="I1249" s="16"/>
      <c r="J1249" s="16"/>
      <c r="K1249" s="16"/>
      <c r="L1249" s="16"/>
      <c r="M1249" s="16"/>
      <c r="N1249" s="16"/>
      <c r="O1249" s="16"/>
      <c r="P1249" s="16"/>
      <c r="Q1249" s="16"/>
      <c r="R1249" s="16"/>
      <c r="S1249" s="16"/>
      <c r="T1249" s="16"/>
      <c r="U1249" s="16"/>
      <c r="V1249" s="16"/>
      <c r="W1249" s="16"/>
      <c r="X1249" s="16"/>
      <c r="Y1249" s="16"/>
      <c r="Z1249" s="16"/>
      <c r="AA1249" s="16"/>
      <c r="AB1249" s="16"/>
    </row>
    <row r="1250" spans="3:28" ht="12.75">
      <c r="C1250" s="16"/>
      <c r="D1250" s="16"/>
      <c r="E1250" s="16"/>
      <c r="F1250" s="16"/>
      <c r="G1250" s="16"/>
      <c r="H1250" s="16"/>
      <c r="I1250" s="16"/>
      <c r="J1250" s="16"/>
      <c r="K1250" s="16"/>
      <c r="L1250" s="16"/>
      <c r="M1250" s="16"/>
      <c r="N1250" s="16"/>
      <c r="O1250" s="16"/>
      <c r="P1250" s="16"/>
      <c r="Q1250" s="16"/>
      <c r="R1250" s="16"/>
      <c r="S1250" s="16"/>
      <c r="T1250" s="16"/>
      <c r="U1250" s="16"/>
      <c r="V1250" s="16"/>
      <c r="W1250" s="16"/>
      <c r="X1250" s="16"/>
      <c r="Y1250" s="16"/>
      <c r="Z1250" s="16"/>
      <c r="AA1250" s="16"/>
      <c r="AB1250" s="16"/>
    </row>
    <row r="1251" spans="3:28" ht="12.75">
      <c r="C1251" s="16"/>
      <c r="D1251" s="16"/>
      <c r="E1251" s="16"/>
      <c r="F1251" s="16"/>
      <c r="G1251" s="16"/>
      <c r="H1251" s="16"/>
      <c r="I1251" s="16"/>
      <c r="J1251" s="16"/>
      <c r="K1251" s="16"/>
      <c r="L1251" s="16"/>
      <c r="M1251" s="16"/>
      <c r="N1251" s="16"/>
      <c r="O1251" s="16"/>
      <c r="P1251" s="16"/>
      <c r="Q1251" s="16"/>
      <c r="R1251" s="16"/>
      <c r="S1251" s="16"/>
      <c r="T1251" s="16"/>
      <c r="U1251" s="16"/>
      <c r="V1251" s="16"/>
      <c r="W1251" s="16"/>
      <c r="X1251" s="16"/>
      <c r="Y1251" s="16"/>
      <c r="Z1251" s="16"/>
      <c r="AA1251" s="16"/>
      <c r="AB1251" s="16"/>
    </row>
    <row r="1252" spans="3:28" ht="12.75">
      <c r="C1252" s="16"/>
      <c r="D1252" s="16"/>
      <c r="E1252" s="16"/>
      <c r="F1252" s="16"/>
      <c r="G1252" s="16"/>
      <c r="H1252" s="16"/>
      <c r="I1252" s="16"/>
      <c r="J1252" s="16"/>
      <c r="K1252" s="16"/>
      <c r="L1252" s="16"/>
      <c r="M1252" s="16"/>
      <c r="N1252" s="16"/>
      <c r="O1252" s="16"/>
      <c r="P1252" s="16"/>
      <c r="Q1252" s="16"/>
      <c r="R1252" s="16"/>
      <c r="S1252" s="16"/>
      <c r="T1252" s="16"/>
      <c r="U1252" s="16"/>
      <c r="V1252" s="16"/>
      <c r="W1252" s="16"/>
      <c r="X1252" s="16"/>
      <c r="Y1252" s="16"/>
      <c r="Z1252" s="16"/>
      <c r="AA1252" s="16"/>
      <c r="AB1252" s="16"/>
    </row>
    <row r="1253" spans="3:28" ht="12.75">
      <c r="C1253" s="16"/>
      <c r="D1253" s="16"/>
      <c r="E1253" s="16"/>
      <c r="F1253" s="16"/>
      <c r="G1253" s="16"/>
      <c r="H1253" s="16"/>
      <c r="I1253" s="16"/>
      <c r="J1253" s="16"/>
      <c r="K1253" s="16"/>
      <c r="L1253" s="16"/>
      <c r="M1253" s="16"/>
      <c r="N1253" s="16"/>
      <c r="O1253" s="16"/>
      <c r="P1253" s="16"/>
      <c r="Q1253" s="16"/>
      <c r="R1253" s="16"/>
      <c r="S1253" s="16"/>
      <c r="T1253" s="16"/>
      <c r="U1253" s="16"/>
      <c r="V1253" s="16"/>
      <c r="W1253" s="16"/>
      <c r="X1253" s="16"/>
      <c r="Y1253" s="16"/>
      <c r="Z1253" s="16"/>
      <c r="AA1253" s="16"/>
      <c r="AB1253" s="16"/>
    </row>
    <row r="1254" spans="3:28" ht="12.75">
      <c r="C1254" s="16"/>
      <c r="D1254" s="16"/>
      <c r="E1254" s="16"/>
      <c r="F1254" s="16"/>
      <c r="G1254" s="16"/>
      <c r="H1254" s="16"/>
      <c r="I1254" s="16"/>
      <c r="J1254" s="16"/>
      <c r="K1254" s="16"/>
      <c r="L1254" s="16"/>
      <c r="M1254" s="16"/>
      <c r="N1254" s="16"/>
      <c r="O1254" s="16"/>
      <c r="P1254" s="16"/>
      <c r="Q1254" s="16"/>
      <c r="R1254" s="16"/>
      <c r="S1254" s="16"/>
      <c r="T1254" s="16"/>
      <c r="U1254" s="16"/>
      <c r="V1254" s="16"/>
      <c r="W1254" s="16"/>
      <c r="X1254" s="16"/>
      <c r="Y1254" s="16"/>
      <c r="Z1254" s="16"/>
      <c r="AA1254" s="16"/>
      <c r="AB1254" s="16"/>
    </row>
    <row r="1255" spans="3:28" ht="12.75">
      <c r="C1255" s="16"/>
      <c r="D1255" s="16"/>
      <c r="E1255" s="16"/>
      <c r="F1255" s="16"/>
      <c r="G1255" s="16"/>
      <c r="H1255" s="16"/>
      <c r="I1255" s="16"/>
      <c r="J1255" s="16"/>
      <c r="K1255" s="16"/>
      <c r="L1255" s="16"/>
      <c r="M1255" s="16"/>
      <c r="N1255" s="16"/>
      <c r="O1255" s="16"/>
      <c r="P1255" s="16"/>
      <c r="Q1255" s="16"/>
      <c r="R1255" s="16"/>
      <c r="S1255" s="16"/>
      <c r="T1255" s="16"/>
      <c r="U1255" s="16"/>
      <c r="V1255" s="16"/>
      <c r="W1255" s="16"/>
      <c r="X1255" s="16"/>
      <c r="Y1255" s="16"/>
      <c r="Z1255" s="16"/>
      <c r="AA1255" s="16"/>
      <c r="AB1255" s="16"/>
    </row>
    <row r="1256" spans="3:28" ht="12.75">
      <c r="C1256" s="16"/>
      <c r="D1256" s="16"/>
      <c r="E1256" s="16"/>
      <c r="F1256" s="16"/>
      <c r="G1256" s="16"/>
      <c r="H1256" s="16"/>
      <c r="I1256" s="16"/>
      <c r="J1256" s="16"/>
      <c r="K1256" s="16"/>
      <c r="L1256" s="16"/>
      <c r="M1256" s="16"/>
      <c r="N1256" s="16"/>
      <c r="O1256" s="16"/>
      <c r="P1256" s="16"/>
      <c r="Q1256" s="16"/>
      <c r="R1256" s="16"/>
      <c r="S1256" s="16"/>
      <c r="T1256" s="16"/>
      <c r="U1256" s="16"/>
      <c r="V1256" s="16"/>
      <c r="W1256" s="16"/>
      <c r="X1256" s="16"/>
      <c r="Y1256" s="16"/>
      <c r="Z1256" s="16"/>
      <c r="AA1256" s="16"/>
      <c r="AB1256" s="16"/>
    </row>
    <row r="1257" spans="3:28" ht="12.75">
      <c r="C1257" s="16"/>
      <c r="D1257" s="16"/>
      <c r="E1257" s="16"/>
      <c r="F1257" s="16"/>
      <c r="G1257" s="16"/>
      <c r="H1257" s="16"/>
      <c r="I1257" s="16"/>
      <c r="J1257" s="16"/>
      <c r="K1257" s="16"/>
      <c r="L1257" s="16"/>
      <c r="M1257" s="16"/>
      <c r="N1257" s="16"/>
      <c r="O1257" s="16"/>
      <c r="P1257" s="16"/>
      <c r="Q1257" s="16"/>
      <c r="R1257" s="16"/>
      <c r="S1257" s="16"/>
      <c r="T1257" s="16"/>
      <c r="U1257" s="16"/>
      <c r="V1257" s="16"/>
      <c r="W1257" s="16"/>
      <c r="X1257" s="16"/>
      <c r="Y1257" s="16"/>
      <c r="Z1257" s="16"/>
      <c r="AA1257" s="16"/>
      <c r="AB1257" s="16"/>
    </row>
    <row r="1258" spans="3:28" ht="12.75">
      <c r="C1258" s="16"/>
      <c r="D1258" s="16"/>
      <c r="E1258" s="16"/>
      <c r="F1258" s="16"/>
      <c r="G1258" s="16"/>
      <c r="H1258" s="16"/>
      <c r="I1258" s="16"/>
      <c r="J1258" s="16"/>
      <c r="K1258" s="16"/>
      <c r="L1258" s="16"/>
      <c r="M1258" s="16"/>
      <c r="N1258" s="16"/>
      <c r="O1258" s="16"/>
      <c r="P1258" s="16"/>
      <c r="Q1258" s="16"/>
      <c r="R1258" s="16"/>
      <c r="S1258" s="16"/>
      <c r="T1258" s="16"/>
      <c r="U1258" s="16"/>
      <c r="V1258" s="16"/>
      <c r="W1258" s="16"/>
      <c r="X1258" s="16"/>
      <c r="Y1258" s="16"/>
      <c r="Z1258" s="16"/>
      <c r="AA1258" s="16"/>
      <c r="AB1258" s="16"/>
    </row>
    <row r="1259" spans="3:28" ht="12.75">
      <c r="C1259" s="16"/>
      <c r="D1259" s="16"/>
      <c r="E1259" s="16"/>
      <c r="F1259" s="16"/>
      <c r="G1259" s="16"/>
      <c r="H1259" s="16"/>
      <c r="I1259" s="16"/>
      <c r="J1259" s="16"/>
      <c r="K1259" s="16"/>
      <c r="L1259" s="16"/>
      <c r="M1259" s="16"/>
      <c r="N1259" s="16"/>
      <c r="O1259" s="16"/>
      <c r="P1259" s="16"/>
      <c r="Q1259" s="16"/>
      <c r="R1259" s="16"/>
      <c r="S1259" s="16"/>
      <c r="T1259" s="16"/>
      <c r="U1259" s="16"/>
      <c r="V1259" s="16"/>
      <c r="W1259" s="16"/>
      <c r="X1259" s="16"/>
      <c r="Y1259" s="16"/>
      <c r="Z1259" s="16"/>
      <c r="AA1259" s="16"/>
      <c r="AB1259" s="16"/>
    </row>
    <row r="1260" spans="3:28" ht="12.75">
      <c r="C1260" s="16"/>
      <c r="D1260" s="16"/>
      <c r="E1260" s="16"/>
      <c r="F1260" s="16"/>
      <c r="G1260" s="16"/>
      <c r="H1260" s="16"/>
      <c r="I1260" s="16"/>
      <c r="J1260" s="16"/>
      <c r="K1260" s="16"/>
      <c r="L1260" s="16"/>
      <c r="M1260" s="16"/>
      <c r="N1260" s="16"/>
      <c r="O1260" s="16"/>
      <c r="P1260" s="16"/>
      <c r="Q1260" s="16"/>
      <c r="R1260" s="16"/>
      <c r="S1260" s="16"/>
      <c r="T1260" s="16"/>
      <c r="U1260" s="16"/>
      <c r="V1260" s="16"/>
      <c r="W1260" s="16"/>
      <c r="X1260" s="16"/>
      <c r="Y1260" s="16"/>
      <c r="Z1260" s="16"/>
      <c r="AA1260" s="16"/>
      <c r="AB1260" s="16"/>
    </row>
    <row r="1261" spans="3:28" ht="12.75">
      <c r="C1261" s="16"/>
      <c r="D1261" s="16"/>
      <c r="E1261" s="16"/>
      <c r="F1261" s="16"/>
      <c r="G1261" s="16"/>
      <c r="H1261" s="16"/>
      <c r="I1261" s="16"/>
      <c r="J1261" s="16"/>
      <c r="K1261" s="16"/>
      <c r="L1261" s="16"/>
      <c r="M1261" s="16"/>
      <c r="N1261" s="16"/>
      <c r="O1261" s="16"/>
      <c r="P1261" s="16"/>
      <c r="Q1261" s="16"/>
      <c r="R1261" s="16"/>
      <c r="S1261" s="16"/>
      <c r="T1261" s="16"/>
      <c r="U1261" s="16"/>
      <c r="V1261" s="16"/>
      <c r="W1261" s="16"/>
      <c r="X1261" s="16"/>
      <c r="Y1261" s="16"/>
      <c r="Z1261" s="16"/>
      <c r="AA1261" s="16"/>
      <c r="AB1261" s="16"/>
    </row>
    <row r="1262" spans="3:28" ht="12.75">
      <c r="C1262" s="16"/>
      <c r="D1262" s="16"/>
      <c r="E1262" s="16"/>
      <c r="F1262" s="16"/>
      <c r="G1262" s="16"/>
      <c r="H1262" s="16"/>
      <c r="I1262" s="16"/>
      <c r="J1262" s="16"/>
      <c r="K1262" s="16"/>
      <c r="L1262" s="16"/>
      <c r="M1262" s="16"/>
      <c r="N1262" s="16"/>
      <c r="O1262" s="16"/>
      <c r="P1262" s="16"/>
      <c r="Q1262" s="16"/>
      <c r="R1262" s="16"/>
      <c r="S1262" s="16"/>
      <c r="T1262" s="16"/>
      <c r="U1262" s="16"/>
      <c r="V1262" s="16"/>
      <c r="W1262" s="16"/>
      <c r="X1262" s="16"/>
      <c r="Y1262" s="16"/>
      <c r="Z1262" s="16"/>
      <c r="AA1262" s="16"/>
      <c r="AB1262" s="16"/>
    </row>
    <row r="1263" spans="3:28" ht="12.75">
      <c r="C1263" s="16"/>
      <c r="D1263" s="16"/>
      <c r="E1263" s="16"/>
      <c r="F1263" s="16"/>
      <c r="G1263" s="16"/>
      <c r="H1263" s="16"/>
      <c r="I1263" s="16"/>
      <c r="J1263" s="16"/>
      <c r="K1263" s="16"/>
      <c r="L1263" s="16"/>
      <c r="M1263" s="16"/>
      <c r="N1263" s="16"/>
      <c r="O1263" s="16"/>
      <c r="P1263" s="16"/>
      <c r="Q1263" s="16"/>
      <c r="R1263" s="16"/>
      <c r="S1263" s="16"/>
      <c r="T1263" s="16"/>
      <c r="U1263" s="16"/>
      <c r="V1263" s="16"/>
      <c r="W1263" s="16"/>
      <c r="X1263" s="16"/>
      <c r="Y1263" s="16"/>
      <c r="Z1263" s="16"/>
      <c r="AA1263" s="16"/>
      <c r="AB1263" s="16"/>
    </row>
    <row r="1264" spans="3:28" ht="12.75">
      <c r="C1264" s="16"/>
      <c r="D1264" s="16"/>
      <c r="E1264" s="16"/>
      <c r="F1264" s="16"/>
      <c r="G1264" s="16"/>
      <c r="H1264" s="16"/>
      <c r="I1264" s="16"/>
      <c r="J1264" s="16"/>
      <c r="K1264" s="16"/>
      <c r="L1264" s="16"/>
      <c r="M1264" s="16"/>
      <c r="N1264" s="16"/>
      <c r="O1264" s="16"/>
      <c r="P1264" s="16"/>
      <c r="Q1264" s="16"/>
      <c r="R1264" s="16"/>
      <c r="S1264" s="16"/>
      <c r="T1264" s="16"/>
      <c r="U1264" s="16"/>
      <c r="V1264" s="16"/>
      <c r="W1264" s="16"/>
      <c r="X1264" s="16"/>
      <c r="Y1264" s="16"/>
      <c r="Z1264" s="16"/>
      <c r="AA1264" s="16"/>
      <c r="AB1264" s="16"/>
    </row>
    <row r="1265" spans="3:28" ht="12.75">
      <c r="C1265" s="16"/>
      <c r="D1265" s="16"/>
      <c r="E1265" s="16"/>
      <c r="F1265" s="16"/>
      <c r="G1265" s="16"/>
      <c r="H1265" s="16"/>
      <c r="I1265" s="16"/>
      <c r="J1265" s="16"/>
      <c r="K1265" s="16"/>
      <c r="L1265" s="16"/>
      <c r="M1265" s="16"/>
      <c r="N1265" s="16"/>
      <c r="O1265" s="16"/>
      <c r="P1265" s="16"/>
      <c r="Q1265" s="16"/>
      <c r="R1265" s="16"/>
      <c r="S1265" s="16"/>
      <c r="T1265" s="16"/>
      <c r="U1265" s="16"/>
      <c r="V1265" s="16"/>
      <c r="W1265" s="16"/>
      <c r="X1265" s="16"/>
      <c r="Y1265" s="16"/>
      <c r="Z1265" s="16"/>
      <c r="AA1265" s="16"/>
      <c r="AB1265" s="16"/>
    </row>
    <row r="1266" spans="3:28" ht="12.75">
      <c r="C1266" s="16"/>
      <c r="D1266" s="16"/>
      <c r="E1266" s="16"/>
      <c r="F1266" s="16"/>
      <c r="G1266" s="16"/>
      <c r="H1266" s="16"/>
      <c r="I1266" s="16"/>
      <c r="J1266" s="16"/>
      <c r="K1266" s="16"/>
      <c r="L1266" s="16"/>
      <c r="M1266" s="16"/>
      <c r="N1266" s="16"/>
      <c r="O1266" s="16"/>
      <c r="P1266" s="16"/>
      <c r="Q1266" s="16"/>
      <c r="R1266" s="16"/>
      <c r="S1266" s="16"/>
      <c r="T1266" s="16"/>
      <c r="U1266" s="16"/>
      <c r="V1266" s="16"/>
      <c r="W1266" s="16"/>
      <c r="X1266" s="16"/>
      <c r="Y1266" s="16"/>
      <c r="Z1266" s="16"/>
      <c r="AA1266" s="16"/>
      <c r="AB1266" s="16"/>
    </row>
    <row r="1267" spans="3:28" ht="12.75">
      <c r="C1267" s="16"/>
      <c r="D1267" s="16"/>
      <c r="E1267" s="16"/>
      <c r="F1267" s="16"/>
      <c r="G1267" s="16"/>
      <c r="H1267" s="16"/>
      <c r="I1267" s="16"/>
      <c r="J1267" s="16"/>
      <c r="K1267" s="16"/>
      <c r="L1267" s="16"/>
      <c r="M1267" s="16"/>
      <c r="N1267" s="16"/>
      <c r="O1267" s="16"/>
      <c r="P1267" s="16"/>
      <c r="Q1267" s="16"/>
      <c r="R1267" s="16"/>
      <c r="S1267" s="16"/>
      <c r="T1267" s="16"/>
      <c r="U1267" s="16"/>
      <c r="V1267" s="16"/>
      <c r="W1267" s="16"/>
      <c r="X1267" s="16"/>
      <c r="Y1267" s="16"/>
      <c r="Z1267" s="16"/>
      <c r="AA1267" s="16"/>
      <c r="AB1267" s="16"/>
    </row>
    <row r="1268" spans="3:28" ht="12.75">
      <c r="C1268" s="16"/>
      <c r="D1268" s="16"/>
      <c r="E1268" s="16"/>
      <c r="F1268" s="16"/>
      <c r="G1268" s="16"/>
      <c r="H1268" s="16"/>
      <c r="I1268" s="16"/>
      <c r="J1268" s="16"/>
      <c r="K1268" s="16"/>
      <c r="L1268" s="16"/>
      <c r="M1268" s="16"/>
      <c r="N1268" s="16"/>
      <c r="O1268" s="16"/>
      <c r="P1268" s="16"/>
      <c r="Q1268" s="16"/>
      <c r="R1268" s="16"/>
      <c r="S1268" s="16"/>
      <c r="T1268" s="16"/>
      <c r="U1268" s="16"/>
      <c r="V1268" s="16"/>
      <c r="W1268" s="16"/>
      <c r="X1268" s="16"/>
      <c r="Y1268" s="16"/>
      <c r="Z1268" s="16"/>
      <c r="AA1268" s="16"/>
      <c r="AB1268" s="16"/>
    </row>
    <row r="1269" spans="3:28" ht="12.75">
      <c r="C1269" s="16"/>
      <c r="D1269" s="16"/>
      <c r="E1269" s="16"/>
      <c r="F1269" s="16"/>
      <c r="G1269" s="16"/>
      <c r="H1269" s="16"/>
      <c r="I1269" s="16"/>
      <c r="J1269" s="16"/>
      <c r="K1269" s="16"/>
      <c r="L1269" s="16"/>
      <c r="M1269" s="16"/>
      <c r="N1269" s="16"/>
      <c r="O1269" s="16"/>
      <c r="P1269" s="16"/>
      <c r="Q1269" s="16"/>
      <c r="R1269" s="16"/>
      <c r="S1269" s="16"/>
      <c r="T1269" s="16"/>
      <c r="U1269" s="16"/>
      <c r="V1269" s="16"/>
      <c r="W1269" s="16"/>
      <c r="X1269" s="16"/>
      <c r="Y1269" s="16"/>
      <c r="Z1269" s="16"/>
      <c r="AA1269" s="16"/>
      <c r="AB1269" s="16"/>
    </row>
    <row r="1270" spans="3:28" ht="12.75">
      <c r="C1270" s="16"/>
      <c r="D1270" s="16"/>
      <c r="E1270" s="16"/>
      <c r="F1270" s="16"/>
      <c r="G1270" s="16"/>
      <c r="H1270" s="16"/>
      <c r="I1270" s="16"/>
      <c r="J1270" s="16"/>
      <c r="K1270" s="16"/>
      <c r="L1270" s="16"/>
      <c r="M1270" s="16"/>
      <c r="N1270" s="16"/>
      <c r="O1270" s="16"/>
      <c r="P1270" s="16"/>
      <c r="Q1270" s="16"/>
      <c r="R1270" s="16"/>
      <c r="S1270" s="16"/>
      <c r="T1270" s="16"/>
      <c r="U1270" s="16"/>
      <c r="V1270" s="16"/>
      <c r="W1270" s="16"/>
      <c r="X1270" s="16"/>
      <c r="Y1270" s="16"/>
      <c r="Z1270" s="16"/>
      <c r="AA1270" s="16"/>
      <c r="AB1270" s="16"/>
    </row>
    <row r="1271" spans="3:28" ht="12.75">
      <c r="C1271" s="16"/>
      <c r="D1271" s="16"/>
      <c r="E1271" s="16"/>
      <c r="F1271" s="16"/>
      <c r="G1271" s="16"/>
      <c r="H1271" s="16"/>
      <c r="I1271" s="16"/>
      <c r="J1271" s="16"/>
      <c r="K1271" s="16"/>
      <c r="L1271" s="16"/>
      <c r="M1271" s="16"/>
      <c r="N1271" s="16"/>
      <c r="O1271" s="16"/>
      <c r="P1271" s="16"/>
      <c r="Q1271" s="16"/>
      <c r="R1271" s="16"/>
      <c r="S1271" s="16"/>
      <c r="T1271" s="16"/>
      <c r="U1271" s="16"/>
      <c r="V1271" s="16"/>
      <c r="W1271" s="16"/>
      <c r="X1271" s="16"/>
      <c r="Y1271" s="16"/>
      <c r="Z1271" s="16"/>
      <c r="AA1271" s="16"/>
      <c r="AB1271" s="16"/>
    </row>
    <row r="1272" spans="3:28" ht="12.75">
      <c r="C1272" s="16"/>
      <c r="D1272" s="16"/>
      <c r="E1272" s="16"/>
      <c r="F1272" s="16"/>
      <c r="G1272" s="16"/>
      <c r="H1272" s="16"/>
      <c r="I1272" s="16"/>
      <c r="J1272" s="16"/>
      <c r="K1272" s="16"/>
      <c r="L1272" s="16"/>
      <c r="M1272" s="16"/>
      <c r="N1272" s="16"/>
      <c r="O1272" s="16"/>
      <c r="P1272" s="16"/>
      <c r="Q1272" s="16"/>
      <c r="R1272" s="16"/>
      <c r="S1272" s="16"/>
      <c r="T1272" s="16"/>
      <c r="U1272" s="16"/>
      <c r="V1272" s="16"/>
      <c r="W1272" s="16"/>
      <c r="X1272" s="16"/>
      <c r="Y1272" s="16"/>
      <c r="Z1272" s="16"/>
      <c r="AA1272" s="16"/>
      <c r="AB1272" s="16"/>
    </row>
    <row r="1273" spans="3:28" ht="12.75">
      <c r="C1273" s="16"/>
      <c r="D1273" s="16"/>
      <c r="E1273" s="16"/>
      <c r="F1273" s="16"/>
      <c r="G1273" s="16"/>
      <c r="H1273" s="16"/>
      <c r="I1273" s="16"/>
      <c r="J1273" s="16"/>
      <c r="K1273" s="16"/>
      <c r="L1273" s="16"/>
      <c r="M1273" s="16"/>
      <c r="N1273" s="16"/>
      <c r="O1273" s="16"/>
      <c r="P1273" s="16"/>
      <c r="Q1273" s="16"/>
      <c r="R1273" s="16"/>
      <c r="S1273" s="16"/>
      <c r="T1273" s="16"/>
      <c r="U1273" s="16"/>
      <c r="V1273" s="16"/>
      <c r="W1273" s="16"/>
      <c r="X1273" s="16"/>
      <c r="Y1273" s="16"/>
      <c r="Z1273" s="16"/>
      <c r="AA1273" s="16"/>
      <c r="AB1273" s="16"/>
    </row>
    <row r="1274" spans="3:28" ht="12.75">
      <c r="C1274" s="16"/>
      <c r="D1274" s="16"/>
      <c r="E1274" s="16"/>
      <c r="F1274" s="16"/>
      <c r="G1274" s="16"/>
      <c r="H1274" s="16"/>
      <c r="I1274" s="16"/>
      <c r="J1274" s="16"/>
      <c r="K1274" s="16"/>
      <c r="L1274" s="16"/>
      <c r="M1274" s="16"/>
      <c r="N1274" s="16"/>
      <c r="O1274" s="16"/>
      <c r="P1274" s="16"/>
      <c r="Q1274" s="16"/>
      <c r="R1274" s="16"/>
      <c r="S1274" s="16"/>
      <c r="T1274" s="16"/>
      <c r="U1274" s="16"/>
      <c r="V1274" s="16"/>
      <c r="W1274" s="16"/>
      <c r="X1274" s="16"/>
      <c r="Y1274" s="16"/>
      <c r="Z1274" s="16"/>
      <c r="AA1274" s="16"/>
      <c r="AB1274" s="16"/>
    </row>
    <row r="1275" spans="3:28" ht="12.75">
      <c r="C1275" s="16"/>
      <c r="D1275" s="16"/>
      <c r="E1275" s="16"/>
      <c r="F1275" s="16"/>
      <c r="G1275" s="16"/>
      <c r="H1275" s="16"/>
      <c r="I1275" s="16"/>
      <c r="J1275" s="16"/>
      <c r="K1275" s="16"/>
      <c r="L1275" s="16"/>
      <c r="M1275" s="16"/>
      <c r="N1275" s="16"/>
      <c r="O1275" s="16"/>
      <c r="P1275" s="16"/>
      <c r="Q1275" s="16"/>
      <c r="R1275" s="16"/>
      <c r="S1275" s="16"/>
      <c r="T1275" s="16"/>
      <c r="U1275" s="16"/>
      <c r="V1275" s="16"/>
      <c r="W1275" s="16"/>
      <c r="X1275" s="16"/>
      <c r="Y1275" s="16"/>
      <c r="Z1275" s="16"/>
      <c r="AA1275" s="16"/>
      <c r="AB1275" s="16"/>
    </row>
    <row r="1276" spans="3:28" ht="12.75">
      <c r="C1276" s="16"/>
      <c r="D1276" s="16"/>
      <c r="E1276" s="16"/>
      <c r="F1276" s="16"/>
      <c r="G1276" s="16"/>
      <c r="H1276" s="16"/>
      <c r="I1276" s="16"/>
      <c r="J1276" s="16"/>
      <c r="K1276" s="16"/>
      <c r="L1276" s="16"/>
      <c r="M1276" s="16"/>
      <c r="N1276" s="16"/>
      <c r="O1276" s="16"/>
      <c r="P1276" s="16"/>
      <c r="Q1276" s="16"/>
      <c r="R1276" s="16"/>
      <c r="S1276" s="16"/>
      <c r="T1276" s="16"/>
      <c r="U1276" s="16"/>
      <c r="V1276" s="16"/>
      <c r="W1276" s="16"/>
      <c r="X1276" s="16"/>
      <c r="Y1276" s="16"/>
      <c r="Z1276" s="16"/>
      <c r="AA1276" s="16"/>
      <c r="AB1276" s="16"/>
    </row>
    <row r="1277" spans="3:28" ht="12.75">
      <c r="C1277" s="16"/>
      <c r="D1277" s="16"/>
      <c r="E1277" s="16"/>
      <c r="F1277" s="16"/>
      <c r="G1277" s="16"/>
      <c r="H1277" s="16"/>
      <c r="I1277" s="16"/>
      <c r="J1277" s="16"/>
      <c r="K1277" s="16"/>
      <c r="L1277" s="16"/>
      <c r="M1277" s="16"/>
      <c r="N1277" s="16"/>
      <c r="O1277" s="16"/>
      <c r="P1277" s="16"/>
      <c r="Q1277" s="16"/>
      <c r="R1277" s="16"/>
      <c r="S1277" s="16"/>
      <c r="T1277" s="16"/>
      <c r="U1277" s="16"/>
      <c r="V1277" s="16"/>
      <c r="W1277" s="16"/>
      <c r="X1277" s="16"/>
      <c r="Y1277" s="16"/>
      <c r="Z1277" s="16"/>
      <c r="AA1277" s="16"/>
      <c r="AB1277" s="16"/>
    </row>
    <row r="1278" spans="3:28" ht="12.75">
      <c r="C1278" s="16"/>
      <c r="D1278" s="16"/>
      <c r="E1278" s="16"/>
      <c r="F1278" s="16"/>
      <c r="G1278" s="16"/>
      <c r="H1278" s="16"/>
      <c r="I1278" s="16"/>
      <c r="J1278" s="16"/>
      <c r="K1278" s="16"/>
      <c r="L1278" s="16"/>
      <c r="M1278" s="16"/>
      <c r="N1278" s="16"/>
      <c r="O1278" s="16"/>
      <c r="P1278" s="16"/>
      <c r="Q1278" s="16"/>
      <c r="R1278" s="16"/>
      <c r="S1278" s="16"/>
      <c r="T1278" s="16"/>
      <c r="U1278" s="16"/>
      <c r="V1278" s="16"/>
      <c r="W1278" s="16"/>
      <c r="X1278" s="16"/>
      <c r="Y1278" s="16"/>
      <c r="Z1278" s="16"/>
      <c r="AA1278" s="16"/>
      <c r="AB1278" s="16"/>
    </row>
    <row r="1279" spans="3:28" ht="12.75">
      <c r="C1279" s="16"/>
      <c r="D1279" s="16"/>
      <c r="E1279" s="16"/>
      <c r="F1279" s="16"/>
      <c r="G1279" s="16"/>
      <c r="H1279" s="16"/>
      <c r="I1279" s="16"/>
      <c r="J1279" s="16"/>
      <c r="K1279" s="16"/>
      <c r="L1279" s="16"/>
      <c r="M1279" s="16"/>
      <c r="N1279" s="16"/>
      <c r="O1279" s="16"/>
      <c r="P1279" s="16"/>
      <c r="Q1279" s="16"/>
      <c r="R1279" s="16"/>
      <c r="S1279" s="16"/>
      <c r="T1279" s="16"/>
      <c r="U1279" s="16"/>
      <c r="V1279" s="16"/>
      <c r="W1279" s="16"/>
      <c r="X1279" s="16"/>
      <c r="Y1279" s="16"/>
      <c r="Z1279" s="16"/>
      <c r="AA1279" s="16"/>
      <c r="AB1279" s="16"/>
    </row>
    <row r="1280" spans="3:28" ht="12.75">
      <c r="C1280" s="16"/>
      <c r="D1280" s="16"/>
      <c r="E1280" s="16"/>
      <c r="F1280" s="16"/>
      <c r="G1280" s="16"/>
      <c r="H1280" s="16"/>
      <c r="I1280" s="16"/>
      <c r="J1280" s="16"/>
      <c r="K1280" s="16"/>
      <c r="L1280" s="16"/>
      <c r="M1280" s="16"/>
      <c r="N1280" s="16"/>
      <c r="O1280" s="16"/>
      <c r="P1280" s="16"/>
      <c r="Q1280" s="16"/>
      <c r="R1280" s="16"/>
      <c r="S1280" s="16"/>
      <c r="T1280" s="16"/>
      <c r="U1280" s="16"/>
      <c r="V1280" s="16"/>
      <c r="W1280" s="16"/>
      <c r="X1280" s="16"/>
      <c r="Y1280" s="16"/>
      <c r="Z1280" s="16"/>
      <c r="AA1280" s="16"/>
      <c r="AB1280" s="16"/>
    </row>
    <row r="1281" spans="3:28" ht="12.75">
      <c r="C1281" s="16"/>
      <c r="D1281" s="16"/>
      <c r="E1281" s="16"/>
      <c r="F1281" s="16"/>
      <c r="G1281" s="16"/>
      <c r="H1281" s="16"/>
      <c r="I1281" s="16"/>
      <c r="J1281" s="16"/>
      <c r="K1281" s="16"/>
      <c r="L1281" s="16"/>
      <c r="M1281" s="16"/>
      <c r="N1281" s="16"/>
      <c r="O1281" s="16"/>
      <c r="P1281" s="16"/>
      <c r="Q1281" s="16"/>
      <c r="R1281" s="16"/>
      <c r="S1281" s="16"/>
      <c r="T1281" s="16"/>
      <c r="U1281" s="16"/>
      <c r="V1281" s="16"/>
      <c r="W1281" s="16"/>
      <c r="X1281" s="16"/>
      <c r="Y1281" s="16"/>
      <c r="Z1281" s="16"/>
      <c r="AA1281" s="16"/>
      <c r="AB1281" s="16"/>
    </row>
    <row r="1282" spans="3:28" ht="12.75">
      <c r="C1282" s="16"/>
      <c r="D1282" s="16"/>
      <c r="E1282" s="16"/>
      <c r="F1282" s="16"/>
      <c r="G1282" s="16"/>
      <c r="H1282" s="16"/>
      <c r="I1282" s="16"/>
      <c r="J1282" s="16"/>
      <c r="K1282" s="16"/>
      <c r="L1282" s="16"/>
      <c r="M1282" s="16"/>
      <c r="N1282" s="16"/>
      <c r="O1282" s="16"/>
      <c r="P1282" s="16"/>
      <c r="Q1282" s="16"/>
      <c r="R1282" s="16"/>
      <c r="S1282" s="16"/>
      <c r="T1282" s="16"/>
      <c r="U1282" s="16"/>
      <c r="V1282" s="16"/>
      <c r="W1282" s="16"/>
      <c r="X1282" s="16"/>
      <c r="Y1282" s="16"/>
      <c r="Z1282" s="16"/>
      <c r="AA1282" s="16"/>
      <c r="AB1282" s="16"/>
    </row>
    <row r="1283" spans="3:28" ht="12.75">
      <c r="C1283" s="16"/>
      <c r="D1283" s="16"/>
      <c r="E1283" s="16"/>
      <c r="F1283" s="16"/>
      <c r="G1283" s="16"/>
      <c r="H1283" s="16"/>
      <c r="I1283" s="16"/>
      <c r="J1283" s="16"/>
      <c r="K1283" s="16"/>
      <c r="L1283" s="16"/>
      <c r="M1283" s="16"/>
      <c r="N1283" s="16"/>
      <c r="O1283" s="16"/>
      <c r="P1283" s="16"/>
      <c r="Q1283" s="16"/>
      <c r="R1283" s="16"/>
      <c r="S1283" s="16"/>
      <c r="T1283" s="16"/>
      <c r="U1283" s="16"/>
      <c r="V1283" s="16"/>
      <c r="W1283" s="16"/>
      <c r="X1283" s="16"/>
      <c r="Y1283" s="16"/>
      <c r="Z1283" s="16"/>
      <c r="AA1283" s="16"/>
      <c r="AB1283" s="16"/>
    </row>
    <row r="1284" spans="3:28" ht="12.75">
      <c r="C1284" s="16"/>
      <c r="D1284" s="16"/>
      <c r="E1284" s="16"/>
      <c r="F1284" s="16"/>
      <c r="G1284" s="16"/>
      <c r="H1284" s="16"/>
      <c r="I1284" s="16"/>
      <c r="J1284" s="16"/>
      <c r="K1284" s="16"/>
      <c r="L1284" s="16"/>
      <c r="M1284" s="16"/>
      <c r="N1284" s="16"/>
      <c r="O1284" s="16"/>
      <c r="P1284" s="16"/>
      <c r="Q1284" s="16"/>
      <c r="R1284" s="16"/>
      <c r="S1284" s="16"/>
      <c r="T1284" s="16"/>
      <c r="U1284" s="16"/>
      <c r="V1284" s="16"/>
      <c r="W1284" s="16"/>
      <c r="X1284" s="16"/>
      <c r="Y1284" s="16"/>
      <c r="Z1284" s="16"/>
      <c r="AA1284" s="16"/>
      <c r="AB1284" s="16"/>
    </row>
    <row r="1285" spans="3:28" ht="12.75">
      <c r="C1285" s="16"/>
      <c r="D1285" s="16"/>
      <c r="E1285" s="16"/>
      <c r="F1285" s="16"/>
      <c r="G1285" s="16"/>
      <c r="H1285" s="16"/>
      <c r="I1285" s="16"/>
      <c r="J1285" s="16"/>
      <c r="K1285" s="16"/>
      <c r="L1285" s="16"/>
      <c r="M1285" s="16"/>
      <c r="N1285" s="16"/>
      <c r="O1285" s="16"/>
      <c r="P1285" s="16"/>
      <c r="Q1285" s="16"/>
      <c r="R1285" s="16"/>
      <c r="S1285" s="16"/>
      <c r="T1285" s="16"/>
      <c r="U1285" s="16"/>
      <c r="V1285" s="16"/>
      <c r="W1285" s="16"/>
      <c r="X1285" s="16"/>
      <c r="Y1285" s="16"/>
      <c r="Z1285" s="16"/>
      <c r="AA1285" s="16"/>
      <c r="AB1285" s="16"/>
    </row>
    <row r="1286" spans="3:28" ht="12.75">
      <c r="C1286" s="16"/>
      <c r="D1286" s="16"/>
      <c r="E1286" s="16"/>
      <c r="F1286" s="16"/>
      <c r="G1286" s="16"/>
      <c r="H1286" s="16"/>
      <c r="I1286" s="16"/>
      <c r="J1286" s="16"/>
      <c r="K1286" s="16"/>
      <c r="L1286" s="16"/>
      <c r="M1286" s="16"/>
      <c r="N1286" s="16"/>
      <c r="O1286" s="16"/>
      <c r="P1286" s="16"/>
      <c r="Q1286" s="16"/>
      <c r="R1286" s="16"/>
      <c r="S1286" s="16"/>
      <c r="T1286" s="16"/>
      <c r="U1286" s="16"/>
      <c r="V1286" s="16"/>
      <c r="W1286" s="16"/>
      <c r="X1286" s="16"/>
      <c r="Y1286" s="16"/>
      <c r="Z1286" s="16"/>
      <c r="AA1286" s="16"/>
      <c r="AB1286" s="16"/>
    </row>
    <row r="1287" spans="3:28" ht="12.75">
      <c r="C1287" s="16"/>
      <c r="D1287" s="16"/>
      <c r="E1287" s="16"/>
      <c r="F1287" s="16"/>
      <c r="G1287" s="16"/>
      <c r="H1287" s="16"/>
      <c r="I1287" s="16"/>
      <c r="J1287" s="16"/>
      <c r="K1287" s="16"/>
      <c r="L1287" s="16"/>
      <c r="M1287" s="16"/>
      <c r="N1287" s="16"/>
      <c r="O1287" s="16"/>
      <c r="P1287" s="16"/>
      <c r="Q1287" s="16"/>
      <c r="R1287" s="16"/>
      <c r="S1287" s="16"/>
      <c r="T1287" s="16"/>
      <c r="U1287" s="16"/>
      <c r="V1287" s="16"/>
      <c r="W1287" s="16"/>
      <c r="X1287" s="16"/>
      <c r="Y1287" s="16"/>
      <c r="Z1287" s="16"/>
      <c r="AA1287" s="16"/>
      <c r="AB1287" s="16"/>
    </row>
    <row r="1288" spans="3:28" ht="12.75">
      <c r="C1288" s="16"/>
      <c r="D1288" s="16"/>
      <c r="E1288" s="16"/>
      <c r="F1288" s="16"/>
      <c r="G1288" s="16"/>
      <c r="H1288" s="16"/>
      <c r="I1288" s="16"/>
      <c r="J1288" s="16"/>
      <c r="K1288" s="16"/>
      <c r="L1288" s="16"/>
      <c r="M1288" s="16"/>
      <c r="N1288" s="16"/>
      <c r="O1288" s="16"/>
      <c r="P1288" s="16"/>
      <c r="Q1288" s="16"/>
      <c r="R1288" s="16"/>
      <c r="S1288" s="16"/>
      <c r="T1288" s="16"/>
      <c r="U1288" s="16"/>
      <c r="V1288" s="16"/>
      <c r="W1288" s="16"/>
      <c r="X1288" s="16"/>
      <c r="Y1288" s="16"/>
      <c r="Z1288" s="16"/>
      <c r="AA1288" s="16"/>
      <c r="AB1288" s="16"/>
    </row>
    <row r="1289" spans="3:28" ht="12.75">
      <c r="C1289" s="16"/>
      <c r="D1289" s="16"/>
      <c r="E1289" s="16"/>
      <c r="F1289" s="16"/>
      <c r="G1289" s="16"/>
      <c r="H1289" s="16"/>
      <c r="I1289" s="16"/>
      <c r="J1289" s="16"/>
      <c r="K1289" s="16"/>
      <c r="L1289" s="16"/>
      <c r="M1289" s="16"/>
      <c r="N1289" s="16"/>
      <c r="O1289" s="16"/>
      <c r="P1289" s="16"/>
      <c r="Q1289" s="16"/>
      <c r="R1289" s="16"/>
      <c r="S1289" s="16"/>
      <c r="T1289" s="16"/>
      <c r="U1289" s="16"/>
      <c r="V1289" s="16"/>
      <c r="W1289" s="16"/>
      <c r="X1289" s="16"/>
      <c r="Y1289" s="16"/>
      <c r="Z1289" s="16"/>
      <c r="AA1289" s="16"/>
      <c r="AB1289" s="16"/>
    </row>
    <row r="1290" spans="3:28" ht="12.75">
      <c r="C1290" s="16"/>
      <c r="D1290" s="16"/>
      <c r="E1290" s="16"/>
      <c r="F1290" s="16"/>
      <c r="G1290" s="16"/>
      <c r="H1290" s="16"/>
      <c r="I1290" s="16"/>
      <c r="J1290" s="16"/>
      <c r="K1290" s="16"/>
      <c r="L1290" s="16"/>
      <c r="M1290" s="16"/>
      <c r="N1290" s="16"/>
      <c r="O1290" s="16"/>
      <c r="P1290" s="16"/>
      <c r="Q1290" s="16"/>
      <c r="R1290" s="16"/>
      <c r="S1290" s="16"/>
      <c r="T1290" s="16"/>
      <c r="U1290" s="16"/>
      <c r="V1290" s="16"/>
      <c r="W1290" s="16"/>
      <c r="X1290" s="16"/>
      <c r="Y1290" s="16"/>
      <c r="Z1290" s="16"/>
      <c r="AA1290" s="16"/>
      <c r="AB1290" s="16"/>
    </row>
    <row r="1291" spans="3:28" ht="12.75">
      <c r="C1291" s="16"/>
      <c r="D1291" s="16"/>
      <c r="E1291" s="16"/>
      <c r="F1291" s="16"/>
      <c r="G1291" s="16"/>
      <c r="H1291" s="16"/>
      <c r="I1291" s="16"/>
      <c r="J1291" s="16"/>
      <c r="K1291" s="16"/>
      <c r="L1291" s="16"/>
      <c r="M1291" s="16"/>
      <c r="N1291" s="16"/>
      <c r="O1291" s="16"/>
      <c r="P1291" s="16"/>
      <c r="Q1291" s="16"/>
      <c r="R1291" s="16"/>
      <c r="S1291" s="16"/>
      <c r="T1291" s="16"/>
      <c r="U1291" s="16"/>
      <c r="V1291" s="16"/>
      <c r="W1291" s="16"/>
      <c r="X1291" s="16"/>
      <c r="Y1291" s="16"/>
      <c r="Z1291" s="16"/>
      <c r="AA1291" s="16"/>
      <c r="AB1291" s="16"/>
    </row>
    <row r="1292" spans="3:28" ht="12.75">
      <c r="C1292" s="16"/>
      <c r="D1292" s="16"/>
      <c r="E1292" s="16"/>
      <c r="F1292" s="16"/>
      <c r="G1292" s="16"/>
      <c r="H1292" s="16"/>
      <c r="I1292" s="16"/>
      <c r="J1292" s="16"/>
      <c r="K1292" s="16"/>
      <c r="L1292" s="16"/>
      <c r="M1292" s="16"/>
      <c r="N1292" s="16"/>
      <c r="O1292" s="16"/>
      <c r="P1292" s="16"/>
      <c r="Q1292" s="16"/>
      <c r="R1292" s="16"/>
      <c r="S1292" s="16"/>
      <c r="T1292" s="16"/>
      <c r="U1292" s="16"/>
      <c r="V1292" s="16"/>
      <c r="W1292" s="16"/>
      <c r="X1292" s="16"/>
      <c r="Y1292" s="16"/>
      <c r="Z1292" s="16"/>
      <c r="AA1292" s="16"/>
      <c r="AB1292" s="16"/>
    </row>
    <row r="1293" spans="3:28" ht="12.75">
      <c r="C1293" s="16"/>
      <c r="D1293" s="16"/>
      <c r="E1293" s="16"/>
      <c r="F1293" s="16"/>
      <c r="G1293" s="16"/>
      <c r="H1293" s="16"/>
      <c r="I1293" s="16"/>
      <c r="J1293" s="16"/>
      <c r="K1293" s="16"/>
      <c r="L1293" s="16"/>
      <c r="M1293" s="16"/>
      <c r="N1293" s="16"/>
      <c r="O1293" s="16"/>
      <c r="P1293" s="16"/>
      <c r="Q1293" s="16"/>
      <c r="R1293" s="16"/>
      <c r="S1293" s="16"/>
      <c r="T1293" s="16"/>
      <c r="U1293" s="16"/>
      <c r="V1293" s="16"/>
      <c r="W1293" s="16"/>
      <c r="X1293" s="16"/>
      <c r="Y1293" s="16"/>
      <c r="Z1293" s="16"/>
      <c r="AA1293" s="16"/>
      <c r="AB1293" s="16"/>
    </row>
    <row r="1294" spans="3:28" ht="12.75">
      <c r="C1294" s="16"/>
      <c r="D1294" s="16"/>
      <c r="E1294" s="16"/>
      <c r="F1294" s="16"/>
      <c r="G1294" s="16"/>
      <c r="H1294" s="16"/>
      <c r="I1294" s="16"/>
      <c r="J1294" s="16"/>
      <c r="K1294" s="16"/>
      <c r="L1294" s="16"/>
      <c r="M1294" s="16"/>
      <c r="N1294" s="16"/>
      <c r="O1294" s="16"/>
      <c r="P1294" s="16"/>
      <c r="Q1294" s="16"/>
      <c r="R1294" s="16"/>
      <c r="S1294" s="16"/>
      <c r="T1294" s="16"/>
      <c r="U1294" s="16"/>
      <c r="V1294" s="16"/>
      <c r="W1294" s="16"/>
      <c r="X1294" s="16"/>
      <c r="Y1294" s="16"/>
      <c r="Z1294" s="16"/>
      <c r="AA1294" s="16"/>
      <c r="AB1294" s="16"/>
    </row>
    <row r="1295" spans="3:28" ht="12.75">
      <c r="C1295" s="16"/>
      <c r="D1295" s="16"/>
      <c r="E1295" s="16"/>
      <c r="F1295" s="16"/>
      <c r="G1295" s="16"/>
      <c r="H1295" s="16"/>
      <c r="I1295" s="16"/>
      <c r="J1295" s="16"/>
      <c r="K1295" s="16"/>
      <c r="L1295" s="16"/>
      <c r="M1295" s="16"/>
      <c r="N1295" s="16"/>
      <c r="O1295" s="16"/>
      <c r="P1295" s="16"/>
      <c r="Q1295" s="16"/>
      <c r="R1295" s="16"/>
      <c r="S1295" s="16"/>
      <c r="T1295" s="16"/>
      <c r="U1295" s="16"/>
      <c r="V1295" s="16"/>
      <c r="W1295" s="16"/>
      <c r="X1295" s="16"/>
      <c r="Y1295" s="16"/>
      <c r="Z1295" s="16"/>
      <c r="AA1295" s="16"/>
      <c r="AB1295" s="16"/>
    </row>
    <row r="1296" spans="3:28" ht="12.75">
      <c r="C1296" s="16"/>
      <c r="D1296" s="16"/>
      <c r="E1296" s="16"/>
      <c r="F1296" s="16"/>
      <c r="G1296" s="16"/>
      <c r="H1296" s="16"/>
      <c r="I1296" s="16"/>
      <c r="J1296" s="16"/>
      <c r="K1296" s="16"/>
      <c r="L1296" s="16"/>
      <c r="M1296" s="16"/>
      <c r="N1296" s="16"/>
      <c r="O1296" s="16"/>
      <c r="P1296" s="16"/>
      <c r="Q1296" s="16"/>
      <c r="R1296" s="16"/>
      <c r="S1296" s="16"/>
      <c r="T1296" s="16"/>
      <c r="U1296" s="16"/>
      <c r="V1296" s="16"/>
      <c r="W1296" s="16"/>
      <c r="X1296" s="16"/>
      <c r="Y1296" s="16"/>
      <c r="Z1296" s="16"/>
      <c r="AA1296" s="16"/>
      <c r="AB1296" s="16"/>
    </row>
    <row r="1297" spans="3:28" ht="12.75">
      <c r="C1297" s="16"/>
      <c r="D1297" s="16"/>
      <c r="E1297" s="16"/>
      <c r="F1297" s="16"/>
      <c r="G1297" s="16"/>
      <c r="H1297" s="16"/>
      <c r="I1297" s="16"/>
      <c r="J1297" s="16"/>
      <c r="K1297" s="16"/>
      <c r="L1297" s="16"/>
      <c r="M1297" s="16"/>
      <c r="N1297" s="16"/>
      <c r="O1297" s="16"/>
      <c r="P1297" s="16"/>
      <c r="Q1297" s="16"/>
      <c r="R1297" s="16"/>
      <c r="S1297" s="16"/>
      <c r="T1297" s="16"/>
      <c r="U1297" s="16"/>
      <c r="V1297" s="16"/>
      <c r="W1297" s="16"/>
      <c r="X1297" s="16"/>
      <c r="Y1297" s="16"/>
      <c r="Z1297" s="16"/>
      <c r="AA1297" s="16"/>
      <c r="AB1297" s="16"/>
    </row>
    <row r="1298" spans="3:28" ht="12.75">
      <c r="C1298" s="16"/>
      <c r="D1298" s="16"/>
      <c r="E1298" s="16"/>
      <c r="F1298" s="16"/>
      <c r="G1298" s="16"/>
      <c r="H1298" s="16"/>
      <c r="I1298" s="16"/>
      <c r="J1298" s="16"/>
      <c r="K1298" s="16"/>
      <c r="L1298" s="16"/>
      <c r="M1298" s="16"/>
      <c r="N1298" s="16"/>
      <c r="O1298" s="16"/>
      <c r="P1298" s="16"/>
      <c r="Q1298" s="16"/>
      <c r="R1298" s="16"/>
      <c r="S1298" s="16"/>
      <c r="T1298" s="16"/>
      <c r="U1298" s="16"/>
      <c r="V1298" s="16"/>
      <c r="W1298" s="16"/>
      <c r="X1298" s="16"/>
      <c r="Y1298" s="16"/>
      <c r="Z1298" s="16"/>
      <c r="AA1298" s="16"/>
      <c r="AB1298" s="16"/>
    </row>
    <row r="1299" spans="3:28" ht="12.75">
      <c r="C1299" s="16"/>
      <c r="D1299" s="16"/>
      <c r="E1299" s="16"/>
      <c r="F1299" s="16"/>
      <c r="G1299" s="16"/>
      <c r="H1299" s="16"/>
      <c r="I1299" s="16"/>
      <c r="J1299" s="16"/>
      <c r="K1299" s="16"/>
      <c r="L1299" s="16"/>
      <c r="M1299" s="16"/>
      <c r="N1299" s="16"/>
      <c r="O1299" s="16"/>
      <c r="P1299" s="16"/>
      <c r="Q1299" s="16"/>
      <c r="R1299" s="16"/>
      <c r="S1299" s="16"/>
      <c r="T1299" s="16"/>
      <c r="U1299" s="16"/>
      <c r="V1299" s="16"/>
      <c r="W1299" s="16"/>
      <c r="X1299" s="16"/>
      <c r="Y1299" s="16"/>
      <c r="Z1299" s="16"/>
      <c r="AA1299" s="16"/>
      <c r="AB1299" s="16"/>
    </row>
    <row r="1300" spans="3:28" ht="12.75">
      <c r="C1300" s="16"/>
      <c r="D1300" s="16"/>
      <c r="E1300" s="16"/>
      <c r="F1300" s="16"/>
      <c r="G1300" s="16"/>
      <c r="H1300" s="16"/>
      <c r="I1300" s="16"/>
      <c r="J1300" s="16"/>
      <c r="K1300" s="16"/>
      <c r="L1300" s="16"/>
      <c r="M1300" s="16"/>
      <c r="N1300" s="16"/>
      <c r="O1300" s="16"/>
      <c r="P1300" s="16"/>
      <c r="Q1300" s="16"/>
      <c r="R1300" s="16"/>
      <c r="S1300" s="16"/>
      <c r="T1300" s="16"/>
      <c r="U1300" s="16"/>
      <c r="V1300" s="16"/>
      <c r="W1300" s="16"/>
      <c r="X1300" s="16"/>
      <c r="Y1300" s="16"/>
      <c r="Z1300" s="16"/>
      <c r="AA1300" s="16"/>
      <c r="AB1300" s="16"/>
    </row>
    <row r="1301" spans="3:28" ht="12.75">
      <c r="C1301" s="16"/>
      <c r="D1301" s="16"/>
      <c r="E1301" s="16"/>
      <c r="F1301" s="16"/>
      <c r="G1301" s="16"/>
      <c r="H1301" s="16"/>
      <c r="I1301" s="16"/>
      <c r="J1301" s="16"/>
      <c r="K1301" s="16"/>
      <c r="L1301" s="16"/>
      <c r="M1301" s="16"/>
      <c r="N1301" s="16"/>
      <c r="O1301" s="16"/>
      <c r="P1301" s="16"/>
      <c r="Q1301" s="16"/>
      <c r="R1301" s="16"/>
      <c r="S1301" s="16"/>
      <c r="T1301" s="16"/>
      <c r="U1301" s="16"/>
      <c r="V1301" s="16"/>
      <c r="W1301" s="16"/>
      <c r="X1301" s="16"/>
      <c r="Y1301" s="16"/>
      <c r="Z1301" s="16"/>
      <c r="AA1301" s="16"/>
      <c r="AB1301" s="16"/>
    </row>
    <row r="1302" spans="3:28" ht="12.75">
      <c r="C1302" s="16"/>
      <c r="D1302" s="16"/>
      <c r="E1302" s="16"/>
      <c r="F1302" s="16"/>
      <c r="G1302" s="16"/>
      <c r="H1302" s="16"/>
      <c r="I1302" s="16"/>
      <c r="J1302" s="16"/>
      <c r="K1302" s="16"/>
      <c r="L1302" s="16"/>
      <c r="M1302" s="16"/>
      <c r="N1302" s="16"/>
      <c r="O1302" s="16"/>
      <c r="P1302" s="16"/>
      <c r="Q1302" s="16"/>
      <c r="R1302" s="16"/>
      <c r="S1302" s="16"/>
      <c r="T1302" s="16"/>
      <c r="U1302" s="16"/>
      <c r="V1302" s="16"/>
      <c r="W1302" s="16"/>
      <c r="X1302" s="16"/>
      <c r="Y1302" s="16"/>
      <c r="Z1302" s="16"/>
      <c r="AA1302" s="16"/>
      <c r="AB1302" s="16"/>
    </row>
    <row r="1303" spans="3:28" ht="12.75">
      <c r="C1303" s="16"/>
      <c r="D1303" s="16"/>
      <c r="E1303" s="16"/>
      <c r="F1303" s="16"/>
      <c r="G1303" s="16"/>
      <c r="H1303" s="16"/>
      <c r="I1303" s="16"/>
      <c r="J1303" s="16"/>
      <c r="K1303" s="16"/>
      <c r="L1303" s="16"/>
      <c r="M1303" s="16"/>
      <c r="N1303" s="16"/>
      <c r="O1303" s="16"/>
      <c r="P1303" s="16"/>
      <c r="Q1303" s="16"/>
      <c r="R1303" s="16"/>
      <c r="S1303" s="16"/>
      <c r="T1303" s="16"/>
      <c r="U1303" s="16"/>
      <c r="V1303" s="16"/>
      <c r="W1303" s="16"/>
      <c r="X1303" s="16"/>
      <c r="Y1303" s="16"/>
      <c r="Z1303" s="16"/>
      <c r="AA1303" s="16"/>
      <c r="AB1303" s="16"/>
    </row>
    <row r="1304" spans="3:28" ht="12.75">
      <c r="C1304" s="16"/>
      <c r="D1304" s="16"/>
      <c r="E1304" s="16"/>
      <c r="F1304" s="16"/>
      <c r="G1304" s="16"/>
      <c r="H1304" s="16"/>
      <c r="I1304" s="16"/>
      <c r="J1304" s="16"/>
      <c r="K1304" s="16"/>
      <c r="L1304" s="16"/>
      <c r="M1304" s="16"/>
      <c r="N1304" s="16"/>
      <c r="O1304" s="16"/>
      <c r="P1304" s="16"/>
      <c r="Q1304" s="16"/>
      <c r="R1304" s="16"/>
      <c r="S1304" s="16"/>
      <c r="T1304" s="16"/>
      <c r="U1304" s="16"/>
      <c r="V1304" s="16"/>
      <c r="W1304" s="16"/>
      <c r="X1304" s="16"/>
      <c r="Y1304" s="16"/>
      <c r="Z1304" s="16"/>
      <c r="AA1304" s="16"/>
      <c r="AB1304" s="16"/>
    </row>
    <row r="1305" spans="3:28" ht="12.75">
      <c r="C1305" s="16"/>
      <c r="D1305" s="16"/>
      <c r="E1305" s="16"/>
      <c r="F1305" s="16"/>
      <c r="G1305" s="16"/>
      <c r="H1305" s="16"/>
      <c r="I1305" s="16"/>
      <c r="J1305" s="16"/>
      <c r="K1305" s="16"/>
      <c r="L1305" s="16"/>
      <c r="M1305" s="16"/>
      <c r="N1305" s="16"/>
      <c r="O1305" s="16"/>
      <c r="P1305" s="16"/>
      <c r="Q1305" s="16"/>
      <c r="R1305" s="16"/>
      <c r="S1305" s="16"/>
      <c r="T1305" s="16"/>
      <c r="U1305" s="16"/>
      <c r="V1305" s="16"/>
      <c r="W1305" s="16"/>
      <c r="X1305" s="16"/>
      <c r="Y1305" s="16"/>
      <c r="Z1305" s="16"/>
      <c r="AA1305" s="16"/>
      <c r="AB1305" s="16"/>
    </row>
    <row r="1306" spans="3:28" ht="12.75">
      <c r="C1306" s="16"/>
      <c r="D1306" s="16"/>
      <c r="E1306" s="16"/>
      <c r="F1306" s="16"/>
      <c r="G1306" s="16"/>
      <c r="H1306" s="16"/>
      <c r="I1306" s="16"/>
      <c r="J1306" s="16"/>
      <c r="K1306" s="16"/>
      <c r="L1306" s="16"/>
      <c r="M1306" s="16"/>
      <c r="N1306" s="16"/>
      <c r="O1306" s="16"/>
      <c r="P1306" s="16"/>
      <c r="Q1306" s="16"/>
      <c r="R1306" s="16"/>
      <c r="S1306" s="16"/>
      <c r="T1306" s="16"/>
      <c r="U1306" s="16"/>
      <c r="V1306" s="16"/>
      <c r="W1306" s="16"/>
      <c r="X1306" s="16"/>
      <c r="Y1306" s="16"/>
      <c r="Z1306" s="16"/>
      <c r="AA1306" s="16"/>
      <c r="AB1306" s="16"/>
    </row>
    <row r="1307" spans="3:28" ht="12.75">
      <c r="C1307" s="16"/>
      <c r="D1307" s="16"/>
      <c r="E1307" s="16"/>
      <c r="F1307" s="16"/>
      <c r="G1307" s="16"/>
      <c r="H1307" s="16"/>
      <c r="I1307" s="16"/>
      <c r="J1307" s="16"/>
      <c r="K1307" s="16"/>
      <c r="L1307" s="16"/>
      <c r="M1307" s="16"/>
      <c r="N1307" s="16"/>
      <c r="O1307" s="16"/>
      <c r="P1307" s="16"/>
      <c r="Q1307" s="16"/>
      <c r="R1307" s="16"/>
      <c r="S1307" s="16"/>
      <c r="T1307" s="16"/>
      <c r="U1307" s="16"/>
      <c r="V1307" s="16"/>
      <c r="W1307" s="16"/>
      <c r="X1307" s="16"/>
      <c r="Y1307" s="16"/>
      <c r="Z1307" s="16"/>
      <c r="AA1307" s="16"/>
      <c r="AB1307" s="16"/>
    </row>
    <row r="1308" spans="3:28" ht="12.75">
      <c r="C1308" s="16"/>
      <c r="D1308" s="16"/>
      <c r="E1308" s="16"/>
      <c r="F1308" s="16"/>
      <c r="G1308" s="16"/>
      <c r="H1308" s="16"/>
      <c r="I1308" s="16"/>
      <c r="J1308" s="16"/>
      <c r="K1308" s="16"/>
      <c r="L1308" s="16"/>
      <c r="M1308" s="16"/>
      <c r="N1308" s="16"/>
      <c r="O1308" s="16"/>
      <c r="P1308" s="16"/>
      <c r="Q1308" s="16"/>
      <c r="R1308" s="16"/>
      <c r="S1308" s="16"/>
      <c r="T1308" s="16"/>
      <c r="U1308" s="16"/>
      <c r="V1308" s="16"/>
      <c r="W1308" s="16"/>
      <c r="X1308" s="16"/>
      <c r="Y1308" s="16"/>
      <c r="Z1308" s="16"/>
      <c r="AA1308" s="16"/>
      <c r="AB1308" s="16"/>
    </row>
    <row r="1309" spans="3:28" ht="12.75">
      <c r="C1309" s="16"/>
      <c r="D1309" s="16"/>
      <c r="E1309" s="16"/>
      <c r="F1309" s="16"/>
      <c r="G1309" s="16"/>
      <c r="H1309" s="16"/>
      <c r="I1309" s="16"/>
      <c r="J1309" s="16"/>
      <c r="K1309" s="16"/>
      <c r="L1309" s="16"/>
      <c r="M1309" s="16"/>
      <c r="N1309" s="16"/>
      <c r="O1309" s="16"/>
      <c r="P1309" s="16"/>
      <c r="Q1309" s="16"/>
      <c r="R1309" s="16"/>
      <c r="S1309" s="16"/>
      <c r="T1309" s="16"/>
      <c r="U1309" s="16"/>
      <c r="V1309" s="16"/>
      <c r="W1309" s="16"/>
      <c r="X1309" s="16"/>
      <c r="Y1309" s="16"/>
      <c r="Z1309" s="16"/>
      <c r="AA1309" s="16"/>
      <c r="AB1309" s="16"/>
    </row>
    <row r="1310" spans="3:28" ht="12.75">
      <c r="C1310" s="16"/>
      <c r="D1310" s="16"/>
      <c r="E1310" s="16"/>
      <c r="F1310" s="16"/>
      <c r="G1310" s="16"/>
      <c r="H1310" s="16"/>
      <c r="I1310" s="16"/>
      <c r="J1310" s="16"/>
      <c r="K1310" s="16"/>
      <c r="L1310" s="16"/>
      <c r="M1310" s="16"/>
      <c r="N1310" s="16"/>
      <c r="O1310" s="16"/>
      <c r="P1310" s="16"/>
      <c r="Q1310" s="16"/>
      <c r="R1310" s="16"/>
      <c r="S1310" s="16"/>
      <c r="T1310" s="16"/>
      <c r="U1310" s="16"/>
      <c r="V1310" s="16"/>
      <c r="W1310" s="16"/>
      <c r="X1310" s="16"/>
      <c r="Y1310" s="16"/>
      <c r="Z1310" s="16"/>
      <c r="AA1310" s="16"/>
      <c r="AB1310" s="16"/>
    </row>
    <row r="1311" spans="3:28" ht="12.75">
      <c r="C1311" s="16"/>
      <c r="D1311" s="16"/>
      <c r="E1311" s="16"/>
      <c r="F1311" s="16"/>
      <c r="G1311" s="16"/>
      <c r="H1311" s="16"/>
      <c r="I1311" s="16"/>
      <c r="J1311" s="16"/>
      <c r="K1311" s="16"/>
      <c r="L1311" s="16"/>
      <c r="M1311" s="16"/>
      <c r="N1311" s="16"/>
      <c r="O1311" s="16"/>
      <c r="P1311" s="16"/>
      <c r="Q1311" s="16"/>
      <c r="R1311" s="16"/>
      <c r="S1311" s="16"/>
      <c r="T1311" s="16"/>
      <c r="U1311" s="16"/>
      <c r="V1311" s="16"/>
      <c r="W1311" s="16"/>
      <c r="X1311" s="16"/>
      <c r="Y1311" s="16"/>
      <c r="Z1311" s="16"/>
      <c r="AA1311" s="16"/>
      <c r="AB1311" s="16"/>
    </row>
    <row r="1312" spans="3:28" ht="12.75">
      <c r="C1312" s="16"/>
      <c r="D1312" s="16"/>
      <c r="E1312" s="16"/>
      <c r="F1312" s="16"/>
      <c r="G1312" s="16"/>
      <c r="H1312" s="16"/>
      <c r="I1312" s="16"/>
      <c r="J1312" s="16"/>
      <c r="K1312" s="16"/>
      <c r="L1312" s="16"/>
      <c r="M1312" s="16"/>
      <c r="N1312" s="16"/>
      <c r="O1312" s="16"/>
      <c r="P1312" s="16"/>
      <c r="Q1312" s="16"/>
      <c r="R1312" s="16"/>
      <c r="S1312" s="16"/>
      <c r="T1312" s="16"/>
      <c r="U1312" s="16"/>
      <c r="V1312" s="16"/>
      <c r="W1312" s="16"/>
      <c r="X1312" s="16"/>
      <c r="Y1312" s="16"/>
      <c r="Z1312" s="16"/>
      <c r="AA1312" s="16"/>
      <c r="AB1312" s="16"/>
    </row>
    <row r="1313" spans="3:28" ht="12.75">
      <c r="C1313" s="16"/>
      <c r="D1313" s="16"/>
      <c r="E1313" s="16"/>
      <c r="F1313" s="16"/>
      <c r="G1313" s="16"/>
      <c r="H1313" s="16"/>
      <c r="I1313" s="16"/>
      <c r="J1313" s="16"/>
      <c r="K1313" s="16"/>
      <c r="L1313" s="16"/>
      <c r="M1313" s="16"/>
      <c r="N1313" s="16"/>
      <c r="O1313" s="16"/>
      <c r="P1313" s="16"/>
      <c r="Q1313" s="16"/>
      <c r="R1313" s="16"/>
      <c r="S1313" s="16"/>
      <c r="T1313" s="16"/>
      <c r="U1313" s="16"/>
      <c r="V1313" s="16"/>
      <c r="W1313" s="16"/>
      <c r="X1313" s="16"/>
      <c r="Y1313" s="16"/>
      <c r="Z1313" s="16"/>
      <c r="AA1313" s="16"/>
      <c r="AB1313" s="16"/>
    </row>
    <row r="1314" spans="3:28" ht="12.75">
      <c r="C1314" s="16"/>
      <c r="D1314" s="16"/>
      <c r="E1314" s="16"/>
      <c r="F1314" s="16"/>
      <c r="G1314" s="16"/>
      <c r="H1314" s="16"/>
      <c r="I1314" s="16"/>
      <c r="J1314" s="16"/>
      <c r="K1314" s="16"/>
      <c r="L1314" s="16"/>
      <c r="M1314" s="16"/>
      <c r="N1314" s="16"/>
      <c r="O1314" s="16"/>
      <c r="P1314" s="16"/>
      <c r="Q1314" s="16"/>
      <c r="R1314" s="16"/>
      <c r="S1314" s="16"/>
      <c r="T1314" s="16"/>
      <c r="U1314" s="16"/>
      <c r="V1314" s="16"/>
      <c r="W1314" s="16"/>
      <c r="X1314" s="16"/>
      <c r="Y1314" s="16"/>
      <c r="Z1314" s="16"/>
      <c r="AA1314" s="16"/>
      <c r="AB1314" s="16"/>
    </row>
    <row r="1315" spans="3:28" ht="12.75">
      <c r="C1315" s="16"/>
      <c r="D1315" s="16"/>
      <c r="E1315" s="16"/>
      <c r="F1315" s="16"/>
      <c r="G1315" s="16"/>
      <c r="H1315" s="16"/>
      <c r="I1315" s="16"/>
      <c r="J1315" s="16"/>
      <c r="K1315" s="16"/>
      <c r="L1315" s="16"/>
      <c r="M1315" s="16"/>
      <c r="N1315" s="16"/>
      <c r="O1315" s="16"/>
      <c r="P1315" s="16"/>
      <c r="Q1315" s="16"/>
      <c r="R1315" s="16"/>
      <c r="S1315" s="16"/>
      <c r="T1315" s="16"/>
      <c r="U1315" s="16"/>
      <c r="V1315" s="16"/>
      <c r="W1315" s="16"/>
      <c r="X1315" s="16"/>
      <c r="Y1315" s="16"/>
      <c r="Z1315" s="16"/>
      <c r="AA1315" s="16"/>
      <c r="AB1315" s="16"/>
    </row>
    <row r="1316" spans="3:28" ht="12.75">
      <c r="C1316" s="16"/>
      <c r="D1316" s="16"/>
      <c r="E1316" s="16"/>
      <c r="F1316" s="16"/>
      <c r="G1316" s="16"/>
      <c r="H1316" s="16"/>
      <c r="I1316" s="16"/>
      <c r="J1316" s="16"/>
      <c r="K1316" s="16"/>
      <c r="L1316" s="16"/>
      <c r="M1316" s="16"/>
      <c r="N1316" s="16"/>
      <c r="O1316" s="16"/>
      <c r="P1316" s="16"/>
      <c r="Q1316" s="16"/>
      <c r="R1316" s="16"/>
      <c r="S1316" s="16"/>
      <c r="T1316" s="16"/>
      <c r="U1316" s="16"/>
      <c r="V1316" s="16"/>
      <c r="W1316" s="16"/>
      <c r="X1316" s="16"/>
      <c r="Y1316" s="16"/>
      <c r="Z1316" s="16"/>
      <c r="AA1316" s="16"/>
      <c r="AB1316" s="16"/>
    </row>
    <row r="1317" spans="3:28" ht="12.75">
      <c r="C1317" s="16"/>
      <c r="D1317" s="16"/>
      <c r="E1317" s="16"/>
      <c r="F1317" s="16"/>
      <c r="G1317" s="16"/>
      <c r="H1317" s="16"/>
      <c r="I1317" s="16"/>
      <c r="J1317" s="16"/>
      <c r="K1317" s="16"/>
      <c r="L1317" s="16"/>
      <c r="M1317" s="16"/>
      <c r="N1317" s="16"/>
      <c r="O1317" s="16"/>
      <c r="P1317" s="16"/>
      <c r="Q1317" s="16"/>
      <c r="R1317" s="16"/>
      <c r="S1317" s="16"/>
      <c r="T1317" s="16"/>
      <c r="U1317" s="16"/>
      <c r="V1317" s="16"/>
      <c r="W1317" s="16"/>
      <c r="X1317" s="16"/>
      <c r="Y1317" s="16"/>
      <c r="Z1317" s="16"/>
      <c r="AA1317" s="16"/>
      <c r="AB1317" s="16"/>
    </row>
    <row r="1318" spans="3:28" ht="12.75">
      <c r="C1318" s="16"/>
      <c r="D1318" s="16"/>
      <c r="E1318" s="16"/>
      <c r="F1318" s="16"/>
      <c r="G1318" s="16"/>
      <c r="H1318" s="16"/>
      <c r="I1318" s="16"/>
      <c r="J1318" s="16"/>
      <c r="K1318" s="16"/>
      <c r="L1318" s="16"/>
      <c r="M1318" s="16"/>
      <c r="N1318" s="16"/>
      <c r="O1318" s="16"/>
      <c r="P1318" s="16"/>
      <c r="Q1318" s="16"/>
      <c r="R1318" s="16"/>
      <c r="S1318" s="16"/>
      <c r="T1318" s="16"/>
      <c r="U1318" s="16"/>
      <c r="V1318" s="16"/>
      <c r="W1318" s="16"/>
      <c r="X1318" s="16"/>
      <c r="Y1318" s="16"/>
      <c r="Z1318" s="16"/>
      <c r="AA1318" s="16"/>
      <c r="AB1318" s="16"/>
    </row>
    <row r="1319" spans="3:28" ht="12.75">
      <c r="C1319" s="16"/>
      <c r="D1319" s="16"/>
      <c r="E1319" s="16"/>
      <c r="F1319" s="16"/>
      <c r="G1319" s="16"/>
      <c r="H1319" s="16"/>
      <c r="I1319" s="16"/>
      <c r="J1319" s="16"/>
      <c r="K1319" s="16"/>
      <c r="L1319" s="16"/>
      <c r="M1319" s="16"/>
      <c r="N1319" s="16"/>
      <c r="O1319" s="16"/>
      <c r="P1319" s="16"/>
      <c r="Q1319" s="16"/>
      <c r="R1319" s="16"/>
      <c r="S1319" s="16"/>
      <c r="T1319" s="16"/>
      <c r="U1319" s="16"/>
      <c r="V1319" s="16"/>
      <c r="W1319" s="16"/>
      <c r="X1319" s="16"/>
      <c r="Y1319" s="16"/>
      <c r="Z1319" s="16"/>
      <c r="AA1319" s="16"/>
      <c r="AB1319" s="16"/>
    </row>
    <row r="1320" spans="3:28" ht="12.75">
      <c r="C1320" s="16"/>
      <c r="D1320" s="16"/>
      <c r="E1320" s="16"/>
      <c r="F1320" s="16"/>
      <c r="G1320" s="16"/>
      <c r="H1320" s="16"/>
      <c r="I1320" s="16"/>
      <c r="J1320" s="16"/>
      <c r="K1320" s="16"/>
      <c r="L1320" s="16"/>
      <c r="M1320" s="16"/>
      <c r="N1320" s="16"/>
      <c r="O1320" s="16"/>
      <c r="P1320" s="16"/>
      <c r="Q1320" s="16"/>
      <c r="R1320" s="16"/>
      <c r="S1320" s="16"/>
      <c r="T1320" s="16"/>
      <c r="U1320" s="16"/>
      <c r="V1320" s="16"/>
      <c r="W1320" s="16"/>
      <c r="X1320" s="16"/>
      <c r="Y1320" s="16"/>
      <c r="Z1320" s="16"/>
      <c r="AA1320" s="16"/>
      <c r="AB1320" s="16"/>
    </row>
    <row r="1321" spans="3:28" ht="12.75">
      <c r="C1321" s="16"/>
      <c r="D1321" s="16"/>
      <c r="E1321" s="16"/>
      <c r="F1321" s="16"/>
      <c r="G1321" s="16"/>
      <c r="H1321" s="16"/>
      <c r="I1321" s="16"/>
      <c r="J1321" s="16"/>
      <c r="K1321" s="16"/>
      <c r="L1321" s="16"/>
      <c r="M1321" s="16"/>
      <c r="N1321" s="16"/>
      <c r="O1321" s="16"/>
      <c r="P1321" s="16"/>
      <c r="Q1321" s="16"/>
      <c r="R1321" s="16"/>
      <c r="S1321" s="16"/>
      <c r="T1321" s="16"/>
      <c r="U1321" s="16"/>
      <c r="V1321" s="16"/>
      <c r="W1321" s="16"/>
      <c r="X1321" s="16"/>
      <c r="Y1321" s="16"/>
      <c r="Z1321" s="16"/>
      <c r="AA1321" s="16"/>
      <c r="AB1321" s="16"/>
    </row>
    <row r="1322" spans="3:28" ht="12.75">
      <c r="C1322" s="16"/>
      <c r="D1322" s="16"/>
      <c r="E1322" s="16"/>
      <c r="F1322" s="16"/>
      <c r="G1322" s="16"/>
      <c r="H1322" s="16"/>
      <c r="I1322" s="16"/>
      <c r="J1322" s="16"/>
      <c r="K1322" s="16"/>
      <c r="L1322" s="16"/>
      <c r="M1322" s="16"/>
      <c r="N1322" s="16"/>
      <c r="O1322" s="16"/>
      <c r="P1322" s="16"/>
      <c r="Q1322" s="16"/>
      <c r="R1322" s="16"/>
      <c r="S1322" s="16"/>
      <c r="T1322" s="16"/>
      <c r="U1322" s="16"/>
      <c r="V1322" s="16"/>
      <c r="W1322" s="16"/>
      <c r="X1322" s="16"/>
      <c r="Y1322" s="16"/>
      <c r="Z1322" s="16"/>
      <c r="AA1322" s="16"/>
      <c r="AB1322" s="16"/>
    </row>
    <row r="1323" spans="3:28" ht="12.75">
      <c r="C1323" s="16"/>
      <c r="D1323" s="16"/>
      <c r="E1323" s="16"/>
      <c r="F1323" s="16"/>
      <c r="G1323" s="16"/>
      <c r="H1323" s="16"/>
      <c r="I1323" s="16"/>
      <c r="J1323" s="16"/>
      <c r="K1323" s="16"/>
      <c r="L1323" s="16"/>
      <c r="M1323" s="16"/>
      <c r="N1323" s="16"/>
      <c r="O1323" s="16"/>
      <c r="P1323" s="16"/>
      <c r="Q1323" s="16"/>
      <c r="R1323" s="16"/>
      <c r="S1323" s="16"/>
      <c r="T1323" s="16"/>
      <c r="U1323" s="16"/>
      <c r="V1323" s="16"/>
      <c r="W1323" s="16"/>
      <c r="X1323" s="16"/>
      <c r="Y1323" s="16"/>
      <c r="Z1323" s="16"/>
      <c r="AA1323" s="16"/>
      <c r="AB1323" s="16"/>
    </row>
    <row r="1324" spans="3:28" ht="12.75">
      <c r="C1324" s="16"/>
      <c r="D1324" s="16"/>
      <c r="E1324" s="16"/>
      <c r="F1324" s="16"/>
      <c r="G1324" s="16"/>
      <c r="H1324" s="16"/>
      <c r="I1324" s="16"/>
      <c r="J1324" s="16"/>
      <c r="K1324" s="16"/>
      <c r="L1324" s="16"/>
      <c r="M1324" s="16"/>
      <c r="N1324" s="16"/>
      <c r="O1324" s="16"/>
      <c r="P1324" s="16"/>
      <c r="Q1324" s="16"/>
      <c r="R1324" s="16"/>
      <c r="S1324" s="16"/>
      <c r="T1324" s="16"/>
      <c r="U1324" s="16"/>
      <c r="V1324" s="16"/>
      <c r="W1324" s="16"/>
      <c r="X1324" s="16"/>
      <c r="Y1324" s="16"/>
      <c r="Z1324" s="16"/>
      <c r="AA1324" s="16"/>
      <c r="AB1324" s="16"/>
    </row>
    <row r="1325" spans="3:28" ht="12.75">
      <c r="C1325" s="16"/>
      <c r="D1325" s="16"/>
      <c r="E1325" s="16"/>
      <c r="F1325" s="16"/>
      <c r="G1325" s="16"/>
      <c r="H1325" s="16"/>
      <c r="I1325" s="16"/>
      <c r="J1325" s="16"/>
      <c r="K1325" s="16"/>
      <c r="L1325" s="16"/>
      <c r="M1325" s="16"/>
      <c r="N1325" s="16"/>
      <c r="O1325" s="16"/>
      <c r="P1325" s="16"/>
      <c r="Q1325" s="16"/>
      <c r="R1325" s="16"/>
      <c r="S1325" s="16"/>
      <c r="T1325" s="16"/>
      <c r="U1325" s="16"/>
      <c r="V1325" s="16"/>
      <c r="W1325" s="16"/>
      <c r="X1325" s="16"/>
      <c r="Y1325" s="16"/>
      <c r="Z1325" s="16"/>
      <c r="AA1325" s="16"/>
      <c r="AB1325" s="16"/>
    </row>
    <row r="1326" spans="3:28" ht="12.75">
      <c r="C1326" s="16"/>
      <c r="D1326" s="16"/>
      <c r="E1326" s="16"/>
      <c r="F1326" s="16"/>
      <c r="G1326" s="16"/>
      <c r="H1326" s="16"/>
      <c r="I1326" s="16"/>
      <c r="J1326" s="16"/>
      <c r="K1326" s="16"/>
      <c r="L1326" s="16"/>
      <c r="M1326" s="16"/>
      <c r="N1326" s="16"/>
      <c r="O1326" s="16"/>
      <c r="P1326" s="16"/>
      <c r="Q1326" s="16"/>
      <c r="R1326" s="16"/>
      <c r="S1326" s="16"/>
      <c r="T1326" s="16"/>
      <c r="U1326" s="16"/>
      <c r="V1326" s="16"/>
      <c r="W1326" s="16"/>
      <c r="X1326" s="16"/>
      <c r="Y1326" s="16"/>
      <c r="Z1326" s="16"/>
      <c r="AA1326" s="16"/>
      <c r="AB1326" s="16"/>
    </row>
    <row r="1327" spans="3:28" ht="12.75">
      <c r="C1327" s="16"/>
      <c r="D1327" s="16"/>
      <c r="E1327" s="16"/>
      <c r="F1327" s="16"/>
      <c r="G1327" s="16"/>
      <c r="H1327" s="16"/>
      <c r="I1327" s="16"/>
      <c r="J1327" s="16"/>
      <c r="K1327" s="16"/>
      <c r="L1327" s="16"/>
      <c r="M1327" s="16"/>
      <c r="N1327" s="16"/>
      <c r="O1327" s="16"/>
      <c r="P1327" s="16"/>
      <c r="Q1327" s="16"/>
      <c r="R1327" s="16"/>
      <c r="S1327" s="16"/>
      <c r="T1327" s="16"/>
      <c r="U1327" s="16"/>
      <c r="V1327" s="16"/>
      <c r="W1327" s="16"/>
      <c r="X1327" s="16"/>
      <c r="Y1327" s="16"/>
      <c r="Z1327" s="16"/>
      <c r="AA1327" s="16"/>
      <c r="AB1327" s="16"/>
    </row>
    <row r="1328" spans="3:28" ht="12.75">
      <c r="C1328" s="16"/>
      <c r="D1328" s="16"/>
      <c r="E1328" s="16"/>
      <c r="F1328" s="16"/>
      <c r="G1328" s="16"/>
      <c r="H1328" s="16"/>
      <c r="I1328" s="16"/>
      <c r="J1328" s="16"/>
      <c r="K1328" s="16"/>
      <c r="L1328" s="16"/>
      <c r="M1328" s="16"/>
      <c r="N1328" s="16"/>
      <c r="O1328" s="16"/>
      <c r="P1328" s="16"/>
      <c r="Q1328" s="16"/>
      <c r="R1328" s="16"/>
      <c r="S1328" s="16"/>
      <c r="T1328" s="16"/>
      <c r="U1328" s="16"/>
      <c r="V1328" s="16"/>
      <c r="W1328" s="16"/>
      <c r="X1328" s="16"/>
      <c r="Y1328" s="16"/>
      <c r="Z1328" s="16"/>
      <c r="AA1328" s="16"/>
      <c r="AB1328" s="16"/>
    </row>
    <row r="1329" spans="3:28" ht="12.75">
      <c r="C1329" s="16"/>
      <c r="D1329" s="16"/>
      <c r="E1329" s="16"/>
      <c r="F1329" s="16"/>
      <c r="G1329" s="16"/>
      <c r="H1329" s="16"/>
      <c r="I1329" s="16"/>
      <c r="J1329" s="16"/>
      <c r="K1329" s="16"/>
      <c r="L1329" s="16"/>
      <c r="M1329" s="16"/>
      <c r="N1329" s="16"/>
      <c r="O1329" s="16"/>
      <c r="P1329" s="16"/>
      <c r="Q1329" s="16"/>
      <c r="R1329" s="16"/>
      <c r="S1329" s="16"/>
      <c r="T1329" s="16"/>
      <c r="U1329" s="16"/>
      <c r="V1329" s="16"/>
      <c r="W1329" s="16"/>
      <c r="X1329" s="16"/>
      <c r="Y1329" s="16"/>
      <c r="Z1329" s="16"/>
      <c r="AA1329" s="16"/>
      <c r="AB1329" s="16"/>
    </row>
    <row r="1330" spans="3:28" ht="12.75">
      <c r="C1330" s="16"/>
      <c r="D1330" s="16"/>
      <c r="E1330" s="16"/>
      <c r="F1330" s="16"/>
      <c r="G1330" s="16"/>
      <c r="H1330" s="16"/>
      <c r="I1330" s="16"/>
      <c r="J1330" s="16"/>
      <c r="K1330" s="16"/>
      <c r="L1330" s="16"/>
      <c r="M1330" s="16"/>
      <c r="N1330" s="16"/>
      <c r="O1330" s="16"/>
      <c r="P1330" s="16"/>
      <c r="Q1330" s="16"/>
      <c r="R1330" s="16"/>
      <c r="S1330" s="16"/>
      <c r="T1330" s="16"/>
      <c r="U1330" s="16"/>
      <c r="V1330" s="16"/>
      <c r="W1330" s="16"/>
      <c r="X1330" s="16"/>
      <c r="Y1330" s="16"/>
      <c r="Z1330" s="16"/>
      <c r="AA1330" s="16"/>
      <c r="AB1330" s="16"/>
    </row>
    <row r="1331" spans="3:28" ht="12.75">
      <c r="C1331" s="16"/>
      <c r="D1331" s="16"/>
      <c r="E1331" s="16"/>
      <c r="F1331" s="16"/>
      <c r="G1331" s="16"/>
      <c r="H1331" s="16"/>
      <c r="I1331" s="16"/>
      <c r="J1331" s="16"/>
      <c r="K1331" s="16"/>
      <c r="L1331" s="16"/>
      <c r="M1331" s="16"/>
      <c r="N1331" s="16"/>
      <c r="O1331" s="16"/>
      <c r="P1331" s="16"/>
      <c r="Q1331" s="16"/>
      <c r="R1331" s="16"/>
      <c r="S1331" s="16"/>
      <c r="T1331" s="16"/>
      <c r="U1331" s="16"/>
      <c r="V1331" s="16"/>
      <c r="W1331" s="16"/>
      <c r="X1331" s="16"/>
      <c r="Y1331" s="16"/>
      <c r="Z1331" s="16"/>
      <c r="AA1331" s="16"/>
      <c r="AB1331" s="16"/>
    </row>
    <row r="1332" spans="3:28" ht="12.75">
      <c r="C1332" s="16"/>
      <c r="D1332" s="16"/>
      <c r="E1332" s="16"/>
      <c r="F1332" s="16"/>
      <c r="G1332" s="16"/>
      <c r="H1332" s="16"/>
      <c r="I1332" s="16"/>
      <c r="J1332" s="16"/>
      <c r="K1332" s="16"/>
      <c r="L1332" s="16"/>
      <c r="M1332" s="16"/>
      <c r="N1332" s="16"/>
      <c r="O1332" s="16"/>
      <c r="P1332" s="16"/>
      <c r="Q1332" s="16"/>
      <c r="R1332" s="16"/>
      <c r="S1332" s="16"/>
      <c r="T1332" s="16"/>
      <c r="U1332" s="16"/>
      <c r="V1332" s="16"/>
      <c r="W1332" s="16"/>
      <c r="X1332" s="16"/>
      <c r="Y1332" s="16"/>
      <c r="Z1332" s="16"/>
      <c r="AA1332" s="16"/>
      <c r="AB1332" s="16"/>
    </row>
    <row r="1333" spans="3:28" ht="12.75">
      <c r="C1333" s="16"/>
      <c r="D1333" s="16"/>
      <c r="E1333" s="16"/>
      <c r="F1333" s="16"/>
      <c r="G1333" s="16"/>
      <c r="H1333" s="16"/>
      <c r="I1333" s="16"/>
      <c r="J1333" s="16"/>
      <c r="K1333" s="16"/>
      <c r="L1333" s="16"/>
      <c r="M1333" s="16"/>
      <c r="N1333" s="16"/>
      <c r="O1333" s="16"/>
      <c r="P1333" s="16"/>
      <c r="Q1333" s="16"/>
      <c r="R1333" s="16"/>
      <c r="S1333" s="16"/>
      <c r="T1333" s="16"/>
      <c r="U1333" s="16"/>
      <c r="V1333" s="16"/>
      <c r="W1333" s="16"/>
      <c r="X1333" s="16"/>
      <c r="Y1333" s="16"/>
      <c r="Z1333" s="16"/>
      <c r="AA1333" s="16"/>
      <c r="AB1333" s="16"/>
    </row>
    <row r="1334" spans="3:28" ht="12.75">
      <c r="C1334" s="16"/>
      <c r="D1334" s="16"/>
      <c r="E1334" s="16"/>
      <c r="F1334" s="16"/>
      <c r="G1334" s="16"/>
      <c r="H1334" s="16"/>
      <c r="I1334" s="16"/>
      <c r="J1334" s="16"/>
      <c r="K1334" s="16"/>
      <c r="L1334" s="16"/>
      <c r="M1334" s="16"/>
      <c r="N1334" s="16"/>
      <c r="O1334" s="16"/>
      <c r="P1334" s="16"/>
      <c r="Q1334" s="16"/>
      <c r="R1334" s="16"/>
      <c r="S1334" s="16"/>
      <c r="T1334" s="16"/>
      <c r="U1334" s="16"/>
      <c r="V1334" s="16"/>
      <c r="W1334" s="16"/>
      <c r="X1334" s="16"/>
      <c r="Y1334" s="16"/>
      <c r="Z1334" s="16"/>
      <c r="AA1334" s="16"/>
      <c r="AB1334" s="16"/>
    </row>
    <row r="1335" spans="3:28" ht="12.75">
      <c r="C1335" s="16"/>
      <c r="D1335" s="16"/>
      <c r="E1335" s="16"/>
      <c r="F1335" s="16"/>
      <c r="G1335" s="16"/>
      <c r="H1335" s="16"/>
      <c r="I1335" s="16"/>
      <c r="J1335" s="16"/>
      <c r="K1335" s="16"/>
      <c r="L1335" s="16"/>
      <c r="M1335" s="16"/>
      <c r="N1335" s="16"/>
      <c r="O1335" s="16"/>
      <c r="P1335" s="16"/>
      <c r="Q1335" s="16"/>
      <c r="R1335" s="16"/>
      <c r="S1335" s="16"/>
      <c r="T1335" s="16"/>
      <c r="U1335" s="16"/>
      <c r="V1335" s="16"/>
      <c r="W1335" s="16"/>
      <c r="X1335" s="16"/>
      <c r="Y1335" s="16"/>
      <c r="Z1335" s="16"/>
      <c r="AA1335" s="16"/>
      <c r="AB1335" s="16"/>
    </row>
    <row r="1336" spans="3:28" ht="12.75">
      <c r="C1336" s="16"/>
      <c r="D1336" s="16"/>
      <c r="E1336" s="16"/>
      <c r="F1336" s="16"/>
      <c r="G1336" s="16"/>
      <c r="H1336" s="16"/>
      <c r="I1336" s="16"/>
      <c r="J1336" s="16"/>
      <c r="K1336" s="16"/>
      <c r="L1336" s="16"/>
      <c r="M1336" s="16"/>
      <c r="N1336" s="16"/>
      <c r="O1336" s="16"/>
      <c r="P1336" s="16"/>
      <c r="Q1336" s="16"/>
      <c r="R1336" s="16"/>
      <c r="S1336" s="16"/>
      <c r="T1336" s="16"/>
      <c r="U1336" s="16"/>
      <c r="V1336" s="16"/>
      <c r="W1336" s="16"/>
      <c r="X1336" s="16"/>
      <c r="Y1336" s="16"/>
      <c r="Z1336" s="16"/>
      <c r="AA1336" s="16"/>
      <c r="AB1336" s="16"/>
    </row>
    <row r="1337" spans="3:28" ht="12.75">
      <c r="C1337" s="16"/>
      <c r="D1337" s="16"/>
      <c r="E1337" s="16"/>
      <c r="F1337" s="16"/>
      <c r="G1337" s="16"/>
      <c r="H1337" s="16"/>
      <c r="I1337" s="16"/>
      <c r="J1337" s="16"/>
      <c r="K1337" s="16"/>
      <c r="L1337" s="16"/>
      <c r="M1337" s="16"/>
      <c r="N1337" s="16"/>
      <c r="O1337" s="16"/>
      <c r="P1337" s="16"/>
      <c r="Q1337" s="16"/>
      <c r="R1337" s="16"/>
      <c r="S1337" s="16"/>
      <c r="T1337" s="16"/>
      <c r="U1337" s="16"/>
      <c r="V1337" s="16"/>
      <c r="W1337" s="16"/>
      <c r="X1337" s="16"/>
      <c r="Y1337" s="16"/>
      <c r="Z1337" s="16"/>
      <c r="AA1337" s="16"/>
      <c r="AB1337" s="16"/>
    </row>
    <row r="1338" spans="3:28" ht="12.75">
      <c r="C1338" s="16"/>
      <c r="D1338" s="16"/>
      <c r="E1338" s="16"/>
      <c r="F1338" s="16"/>
      <c r="G1338" s="16"/>
      <c r="H1338" s="16"/>
      <c r="I1338" s="16"/>
      <c r="J1338" s="16"/>
      <c r="K1338" s="16"/>
      <c r="L1338" s="16"/>
      <c r="M1338" s="16"/>
      <c r="N1338" s="16"/>
      <c r="O1338" s="16"/>
      <c r="P1338" s="16"/>
      <c r="Q1338" s="16"/>
      <c r="R1338" s="16"/>
      <c r="S1338" s="16"/>
      <c r="T1338" s="16"/>
      <c r="U1338" s="16"/>
      <c r="V1338" s="16"/>
      <c r="W1338" s="16"/>
      <c r="X1338" s="16"/>
      <c r="Y1338" s="16"/>
      <c r="Z1338" s="16"/>
      <c r="AA1338" s="16"/>
      <c r="AB1338" s="16"/>
    </row>
    <row r="1339" spans="3:28" ht="12.75">
      <c r="C1339" s="16"/>
      <c r="D1339" s="16"/>
      <c r="E1339" s="16"/>
      <c r="F1339" s="16"/>
      <c r="G1339" s="16"/>
      <c r="H1339" s="16"/>
      <c r="I1339" s="16"/>
      <c r="J1339" s="16"/>
      <c r="K1339" s="16"/>
      <c r="L1339" s="16"/>
      <c r="M1339" s="16"/>
      <c r="N1339" s="16"/>
      <c r="O1339" s="16"/>
      <c r="P1339" s="16"/>
      <c r="Q1339" s="16"/>
      <c r="R1339" s="16"/>
      <c r="S1339" s="16"/>
      <c r="T1339" s="16"/>
      <c r="U1339" s="16"/>
      <c r="V1339" s="16"/>
      <c r="W1339" s="16"/>
      <c r="X1339" s="16"/>
      <c r="Y1339" s="16"/>
      <c r="Z1339" s="16"/>
      <c r="AA1339" s="16"/>
      <c r="AB1339" s="16"/>
    </row>
    <row r="1340" spans="3:28" ht="12.75">
      <c r="C1340" s="16"/>
      <c r="D1340" s="16"/>
      <c r="E1340" s="16"/>
      <c r="F1340" s="16"/>
      <c r="G1340" s="16"/>
      <c r="H1340" s="16"/>
      <c r="I1340" s="16"/>
      <c r="J1340" s="16"/>
      <c r="K1340" s="16"/>
      <c r="L1340" s="16"/>
      <c r="M1340" s="16"/>
      <c r="N1340" s="16"/>
      <c r="O1340" s="16"/>
      <c r="P1340" s="16"/>
      <c r="Q1340" s="16"/>
      <c r="R1340" s="16"/>
      <c r="S1340" s="16"/>
      <c r="T1340" s="16"/>
      <c r="U1340" s="16"/>
      <c r="V1340" s="16"/>
      <c r="W1340" s="16"/>
      <c r="X1340" s="16"/>
      <c r="Y1340" s="16"/>
      <c r="Z1340" s="16"/>
      <c r="AA1340" s="16"/>
      <c r="AB1340" s="16"/>
    </row>
    <row r="1341" spans="3:28" ht="12.75">
      <c r="C1341" s="16"/>
      <c r="D1341" s="16"/>
      <c r="E1341" s="16"/>
      <c r="F1341" s="16"/>
      <c r="G1341" s="16"/>
      <c r="H1341" s="16"/>
      <c r="I1341" s="16"/>
      <c r="J1341" s="16"/>
      <c r="K1341" s="16"/>
      <c r="L1341" s="16"/>
      <c r="M1341" s="16"/>
      <c r="N1341" s="16"/>
      <c r="O1341" s="16"/>
      <c r="P1341" s="16"/>
      <c r="Q1341" s="16"/>
      <c r="R1341" s="16"/>
      <c r="S1341" s="16"/>
      <c r="T1341" s="16"/>
      <c r="U1341" s="16"/>
      <c r="V1341" s="16"/>
      <c r="W1341" s="16"/>
      <c r="X1341" s="16"/>
      <c r="Y1341" s="16"/>
      <c r="Z1341" s="16"/>
      <c r="AA1341" s="16"/>
      <c r="AB1341" s="16"/>
    </row>
    <row r="1342" spans="3:28" ht="12.75">
      <c r="C1342" s="16"/>
      <c r="D1342" s="16"/>
      <c r="E1342" s="16"/>
      <c r="F1342" s="16"/>
      <c r="G1342" s="16"/>
      <c r="H1342" s="16"/>
      <c r="I1342" s="16"/>
      <c r="J1342" s="16"/>
      <c r="K1342" s="16"/>
      <c r="L1342" s="16"/>
      <c r="M1342" s="16"/>
      <c r="N1342" s="16"/>
      <c r="O1342" s="16"/>
      <c r="P1342" s="16"/>
      <c r="Q1342" s="16"/>
      <c r="R1342" s="16"/>
      <c r="S1342" s="16"/>
      <c r="T1342" s="16"/>
      <c r="U1342" s="16"/>
      <c r="V1342" s="16"/>
      <c r="W1342" s="16"/>
      <c r="X1342" s="16"/>
      <c r="Y1342" s="16"/>
      <c r="Z1342" s="16"/>
      <c r="AA1342" s="16"/>
      <c r="AB1342" s="16"/>
    </row>
    <row r="1343" spans="3:28" ht="12.75">
      <c r="C1343" s="16"/>
      <c r="D1343" s="16"/>
      <c r="E1343" s="16"/>
      <c r="F1343" s="16"/>
      <c r="G1343" s="16"/>
      <c r="H1343" s="16"/>
      <c r="I1343" s="16"/>
      <c r="J1343" s="16"/>
      <c r="K1343" s="16"/>
      <c r="L1343" s="16"/>
      <c r="M1343" s="16"/>
      <c r="N1343" s="16"/>
      <c r="O1343" s="16"/>
      <c r="P1343" s="16"/>
      <c r="Q1343" s="16"/>
      <c r="R1343" s="16"/>
      <c r="S1343" s="16"/>
      <c r="T1343" s="16"/>
      <c r="U1343" s="16"/>
      <c r="V1343" s="16"/>
      <c r="W1343" s="16"/>
      <c r="X1343" s="16"/>
      <c r="Y1343" s="16"/>
      <c r="Z1343" s="16"/>
      <c r="AA1343" s="16"/>
      <c r="AB1343" s="16"/>
    </row>
    <row r="1344" spans="3:28" ht="12.75">
      <c r="C1344" s="16"/>
      <c r="D1344" s="16"/>
      <c r="E1344" s="16"/>
      <c r="F1344" s="16"/>
      <c r="G1344" s="16"/>
      <c r="H1344" s="16"/>
      <c r="I1344" s="16"/>
      <c r="J1344" s="16"/>
      <c r="K1344" s="16"/>
      <c r="L1344" s="16"/>
      <c r="M1344" s="16"/>
      <c r="N1344" s="16"/>
      <c r="O1344" s="16"/>
      <c r="P1344" s="16"/>
      <c r="Q1344" s="16"/>
      <c r="R1344" s="16"/>
      <c r="S1344" s="16"/>
      <c r="T1344" s="16"/>
      <c r="U1344" s="16"/>
      <c r="V1344" s="16"/>
      <c r="W1344" s="16"/>
      <c r="X1344" s="16"/>
      <c r="Y1344" s="16"/>
      <c r="Z1344" s="16"/>
      <c r="AA1344" s="16"/>
      <c r="AB1344" s="16"/>
    </row>
    <row r="1345" spans="3:28" ht="12.75">
      <c r="C1345" s="16"/>
      <c r="D1345" s="16"/>
      <c r="E1345" s="16"/>
      <c r="F1345" s="16"/>
      <c r="G1345" s="16"/>
      <c r="H1345" s="16"/>
      <c r="I1345" s="16"/>
      <c r="J1345" s="16"/>
      <c r="K1345" s="16"/>
      <c r="L1345" s="16"/>
      <c r="M1345" s="16"/>
      <c r="N1345" s="16"/>
      <c r="O1345" s="16"/>
      <c r="P1345" s="16"/>
      <c r="Q1345" s="16"/>
      <c r="R1345" s="16"/>
      <c r="S1345" s="16"/>
      <c r="T1345" s="16"/>
      <c r="U1345" s="16"/>
      <c r="V1345" s="16"/>
      <c r="W1345" s="16"/>
      <c r="X1345" s="16"/>
      <c r="Y1345" s="16"/>
      <c r="Z1345" s="16"/>
      <c r="AA1345" s="16"/>
      <c r="AB1345" s="16"/>
    </row>
    <row r="1346" spans="3:28" ht="12.75">
      <c r="C1346" s="16"/>
      <c r="D1346" s="16"/>
      <c r="E1346" s="16"/>
      <c r="F1346" s="16"/>
      <c r="G1346" s="16"/>
      <c r="H1346" s="16"/>
      <c r="I1346" s="16"/>
      <c r="J1346" s="16"/>
      <c r="K1346" s="16"/>
      <c r="L1346" s="16"/>
      <c r="M1346" s="16"/>
      <c r="N1346" s="16"/>
      <c r="O1346" s="16"/>
      <c r="P1346" s="16"/>
      <c r="Q1346" s="16"/>
      <c r="R1346" s="16"/>
      <c r="S1346" s="16"/>
      <c r="T1346" s="16"/>
      <c r="U1346" s="16"/>
      <c r="V1346" s="16"/>
      <c r="W1346" s="16"/>
      <c r="X1346" s="16"/>
      <c r="Y1346" s="16"/>
      <c r="Z1346" s="16"/>
      <c r="AA1346" s="16"/>
      <c r="AB1346" s="16"/>
    </row>
    <row r="1347" spans="3:28" ht="12.75">
      <c r="C1347" s="16"/>
      <c r="D1347" s="16"/>
      <c r="E1347" s="16"/>
      <c r="F1347" s="16"/>
      <c r="G1347" s="16"/>
      <c r="H1347" s="16"/>
      <c r="I1347" s="16"/>
      <c r="J1347" s="16"/>
      <c r="K1347" s="16"/>
      <c r="L1347" s="16"/>
      <c r="M1347" s="16"/>
      <c r="N1347" s="16"/>
      <c r="O1347" s="16"/>
      <c r="P1347" s="16"/>
      <c r="Q1347" s="16"/>
      <c r="R1347" s="16"/>
      <c r="S1347" s="16"/>
      <c r="T1347" s="16"/>
      <c r="U1347" s="16"/>
      <c r="V1347" s="16"/>
      <c r="W1347" s="16"/>
      <c r="X1347" s="16"/>
      <c r="Y1347" s="16"/>
      <c r="Z1347" s="16"/>
      <c r="AA1347" s="16"/>
      <c r="AB1347" s="16"/>
    </row>
    <row r="1348" spans="3:28" ht="12.75">
      <c r="C1348" s="16"/>
      <c r="D1348" s="16"/>
      <c r="E1348" s="16"/>
      <c r="F1348" s="16"/>
      <c r="G1348" s="16"/>
      <c r="H1348" s="16"/>
      <c r="I1348" s="16"/>
      <c r="J1348" s="16"/>
      <c r="K1348" s="16"/>
      <c r="L1348" s="16"/>
      <c r="M1348" s="16"/>
      <c r="N1348" s="16"/>
      <c r="O1348" s="16"/>
      <c r="P1348" s="16"/>
      <c r="Q1348" s="16"/>
      <c r="R1348" s="16"/>
      <c r="S1348" s="16"/>
      <c r="T1348" s="16"/>
      <c r="U1348" s="16"/>
      <c r="V1348" s="16"/>
      <c r="W1348" s="16"/>
      <c r="X1348" s="16"/>
      <c r="Y1348" s="16"/>
      <c r="Z1348" s="16"/>
      <c r="AA1348" s="16"/>
      <c r="AB1348" s="16"/>
    </row>
    <row r="1349" spans="3:28" ht="12.75">
      <c r="C1349" s="16"/>
      <c r="D1349" s="16"/>
      <c r="E1349" s="16"/>
      <c r="F1349" s="16"/>
      <c r="G1349" s="16"/>
      <c r="H1349" s="16"/>
      <c r="I1349" s="16"/>
      <c r="J1349" s="16"/>
      <c r="K1349" s="16"/>
      <c r="L1349" s="16"/>
      <c r="M1349" s="16"/>
      <c r="N1349" s="16"/>
      <c r="O1349" s="16"/>
      <c r="P1349" s="16"/>
      <c r="Q1349" s="16"/>
      <c r="R1349" s="16"/>
      <c r="S1349" s="16"/>
      <c r="T1349" s="16"/>
      <c r="U1349" s="16"/>
      <c r="V1349" s="16"/>
      <c r="W1349" s="16"/>
      <c r="X1349" s="16"/>
      <c r="Y1349" s="16"/>
      <c r="Z1349" s="16"/>
      <c r="AA1349" s="16"/>
      <c r="AB1349" s="16"/>
    </row>
    <row r="1350" spans="3:28" ht="12.75">
      <c r="C1350" s="16"/>
      <c r="D1350" s="16"/>
      <c r="E1350" s="16"/>
      <c r="F1350" s="16"/>
      <c r="G1350" s="16"/>
      <c r="H1350" s="16"/>
      <c r="I1350" s="16"/>
      <c r="J1350" s="16"/>
      <c r="K1350" s="16"/>
      <c r="L1350" s="16"/>
      <c r="M1350" s="16"/>
      <c r="N1350" s="16"/>
      <c r="O1350" s="16"/>
      <c r="P1350" s="16"/>
      <c r="Q1350" s="16"/>
      <c r="R1350" s="16"/>
      <c r="S1350" s="16"/>
      <c r="T1350" s="16"/>
      <c r="U1350" s="16"/>
      <c r="V1350" s="16"/>
      <c r="W1350" s="16"/>
      <c r="X1350" s="16"/>
      <c r="Y1350" s="16"/>
      <c r="Z1350" s="16"/>
      <c r="AA1350" s="16"/>
      <c r="AB1350" s="16"/>
    </row>
    <row r="1351" spans="3:28" ht="12.75">
      <c r="C1351" s="16"/>
      <c r="D1351" s="16"/>
      <c r="E1351" s="16"/>
      <c r="F1351" s="16"/>
      <c r="G1351" s="16"/>
      <c r="H1351" s="16"/>
      <c r="I1351" s="16"/>
      <c r="J1351" s="16"/>
      <c r="K1351" s="16"/>
      <c r="L1351" s="16"/>
      <c r="M1351" s="16"/>
      <c r="N1351" s="16"/>
      <c r="O1351" s="16"/>
      <c r="P1351" s="16"/>
      <c r="Q1351" s="16"/>
      <c r="R1351" s="16"/>
      <c r="S1351" s="16"/>
      <c r="T1351" s="16"/>
      <c r="U1351" s="16"/>
      <c r="V1351" s="16"/>
      <c r="W1351" s="16"/>
      <c r="X1351" s="16"/>
      <c r="Y1351" s="16"/>
      <c r="Z1351" s="16"/>
      <c r="AA1351" s="16"/>
      <c r="AB1351" s="16"/>
    </row>
    <row r="1352" spans="3:28" ht="12.75">
      <c r="C1352" s="16"/>
      <c r="D1352" s="16"/>
      <c r="E1352" s="16"/>
      <c r="F1352" s="16"/>
      <c r="G1352" s="16"/>
      <c r="H1352" s="16"/>
      <c r="I1352" s="16"/>
      <c r="J1352" s="16"/>
      <c r="K1352" s="16"/>
      <c r="L1352" s="16"/>
      <c r="M1352" s="16"/>
      <c r="N1352" s="16"/>
      <c r="O1352" s="16"/>
      <c r="P1352" s="16"/>
      <c r="Q1352" s="16"/>
      <c r="R1352" s="16"/>
      <c r="S1352" s="16"/>
      <c r="T1352" s="16"/>
      <c r="U1352" s="16"/>
      <c r="V1352" s="16"/>
      <c r="W1352" s="16"/>
      <c r="X1352" s="16"/>
      <c r="Y1352" s="16"/>
      <c r="Z1352" s="16"/>
      <c r="AA1352" s="16"/>
      <c r="AB1352" s="16"/>
    </row>
    <row r="1353" spans="3:28" ht="12.75">
      <c r="C1353" s="16"/>
      <c r="D1353" s="16"/>
      <c r="E1353" s="16"/>
      <c r="F1353" s="16"/>
      <c r="G1353" s="16"/>
      <c r="H1353" s="16"/>
      <c r="I1353" s="16"/>
      <c r="J1353" s="16"/>
      <c r="K1353" s="16"/>
      <c r="L1353" s="16"/>
      <c r="M1353" s="16"/>
      <c r="N1353" s="16"/>
      <c r="O1353" s="16"/>
      <c r="P1353" s="16"/>
      <c r="Q1353" s="16"/>
      <c r="R1353" s="16"/>
      <c r="S1353" s="16"/>
      <c r="T1353" s="16"/>
      <c r="U1353" s="16"/>
      <c r="V1353" s="16"/>
      <c r="W1353" s="16"/>
      <c r="X1353" s="16"/>
      <c r="Y1353" s="16"/>
      <c r="Z1353" s="16"/>
      <c r="AA1353" s="16"/>
      <c r="AB1353" s="16"/>
    </row>
    <row r="1354" spans="3:28" ht="12.75">
      <c r="C1354" s="16"/>
      <c r="D1354" s="16"/>
      <c r="E1354" s="16"/>
      <c r="F1354" s="16"/>
      <c r="G1354" s="16"/>
      <c r="H1354" s="16"/>
      <c r="I1354" s="16"/>
      <c r="J1354" s="16"/>
      <c r="K1354" s="16"/>
      <c r="L1354" s="16"/>
      <c r="M1354" s="16"/>
      <c r="N1354" s="16"/>
      <c r="O1354" s="16"/>
      <c r="P1354" s="16"/>
      <c r="Q1354" s="16"/>
      <c r="R1354" s="16"/>
      <c r="S1354" s="16"/>
      <c r="T1354" s="16"/>
      <c r="U1354" s="16"/>
      <c r="V1354" s="16"/>
      <c r="W1354" s="16"/>
      <c r="X1354" s="16"/>
      <c r="Y1354" s="16"/>
      <c r="Z1354" s="16"/>
      <c r="AA1354" s="16"/>
      <c r="AB1354" s="16"/>
    </row>
    <row r="1355" spans="3:28" ht="12.75">
      <c r="C1355" s="16"/>
      <c r="D1355" s="16"/>
      <c r="E1355" s="16"/>
      <c r="F1355" s="16"/>
      <c r="G1355" s="16"/>
      <c r="H1355" s="16"/>
      <c r="I1355" s="16"/>
      <c r="J1355" s="16"/>
      <c r="K1355" s="16"/>
      <c r="L1355" s="16"/>
      <c r="M1355" s="16"/>
      <c r="N1355" s="16"/>
      <c r="O1355" s="16"/>
      <c r="P1355" s="16"/>
      <c r="Q1355" s="16"/>
      <c r="R1355" s="16"/>
      <c r="S1355" s="16"/>
      <c r="T1355" s="16"/>
      <c r="U1355" s="16"/>
      <c r="V1355" s="16"/>
      <c r="W1355" s="16"/>
      <c r="X1355" s="16"/>
      <c r="Y1355" s="16"/>
      <c r="Z1355" s="16"/>
      <c r="AA1355" s="16"/>
      <c r="AB1355" s="16"/>
    </row>
    <row r="1356" spans="3:28" ht="12.75">
      <c r="C1356" s="16"/>
      <c r="D1356" s="16"/>
      <c r="E1356" s="16"/>
      <c r="F1356" s="16"/>
      <c r="G1356" s="16"/>
      <c r="H1356" s="16"/>
      <c r="I1356" s="16"/>
      <c r="J1356" s="16"/>
      <c r="K1356" s="16"/>
      <c r="L1356" s="16"/>
      <c r="M1356" s="16"/>
      <c r="N1356" s="16"/>
      <c r="O1356" s="16"/>
      <c r="P1356" s="16"/>
      <c r="Q1356" s="16"/>
      <c r="R1356" s="16"/>
      <c r="S1356" s="16"/>
      <c r="T1356" s="16"/>
      <c r="U1356" s="16"/>
      <c r="V1356" s="16"/>
      <c r="W1356" s="16"/>
      <c r="X1356" s="16"/>
      <c r="Y1356" s="16"/>
      <c r="Z1356" s="16"/>
      <c r="AA1356" s="16"/>
      <c r="AB1356" s="16"/>
    </row>
    <row r="1357" spans="3:28" ht="12.75">
      <c r="C1357" s="16"/>
      <c r="D1357" s="16"/>
      <c r="E1357" s="16"/>
      <c r="F1357" s="16"/>
      <c r="G1357" s="16"/>
      <c r="H1357" s="16"/>
      <c r="I1357" s="16"/>
      <c r="J1357" s="16"/>
      <c r="K1357" s="16"/>
      <c r="L1357" s="16"/>
      <c r="M1357" s="16"/>
      <c r="N1357" s="16"/>
      <c r="O1357" s="16"/>
      <c r="P1357" s="16"/>
      <c r="Q1357" s="16"/>
      <c r="R1357" s="16"/>
      <c r="S1357" s="16"/>
      <c r="T1357" s="16"/>
      <c r="U1357" s="16"/>
      <c r="V1357" s="16"/>
      <c r="W1357" s="16"/>
      <c r="X1357" s="16"/>
      <c r="Y1357" s="16"/>
      <c r="Z1357" s="16"/>
      <c r="AA1357" s="16"/>
      <c r="AB1357" s="16"/>
    </row>
    <row r="1358" spans="3:28" ht="12.75">
      <c r="C1358" s="16"/>
      <c r="D1358" s="16"/>
      <c r="E1358" s="16"/>
      <c r="F1358" s="16"/>
      <c r="G1358" s="16"/>
      <c r="H1358" s="16"/>
      <c r="I1358" s="16"/>
      <c r="J1358" s="16"/>
      <c r="K1358" s="16"/>
      <c r="L1358" s="16"/>
      <c r="M1358" s="16"/>
      <c r="N1358" s="16"/>
      <c r="O1358" s="16"/>
      <c r="P1358" s="16"/>
      <c r="Q1358" s="16"/>
      <c r="R1358" s="16"/>
      <c r="S1358" s="16"/>
      <c r="T1358" s="16"/>
      <c r="U1358" s="16"/>
      <c r="V1358" s="16"/>
      <c r="W1358" s="16"/>
      <c r="X1358" s="16"/>
      <c r="Y1358" s="16"/>
      <c r="Z1358" s="16"/>
      <c r="AA1358" s="16"/>
      <c r="AB1358" s="16"/>
    </row>
    <row r="1359" spans="3:28" ht="12.75">
      <c r="C1359" s="16"/>
      <c r="D1359" s="16"/>
      <c r="E1359" s="16"/>
      <c r="F1359" s="16"/>
      <c r="G1359" s="16"/>
      <c r="H1359" s="16"/>
      <c r="I1359" s="16"/>
      <c r="J1359" s="16"/>
      <c r="K1359" s="16"/>
      <c r="L1359" s="16"/>
      <c r="M1359" s="16"/>
      <c r="N1359" s="16"/>
      <c r="O1359" s="16"/>
      <c r="P1359" s="16"/>
      <c r="Q1359" s="16"/>
      <c r="R1359" s="16"/>
      <c r="S1359" s="16"/>
      <c r="T1359" s="16"/>
      <c r="U1359" s="16"/>
      <c r="V1359" s="16"/>
      <c r="W1359" s="16"/>
      <c r="X1359" s="16"/>
      <c r="Y1359" s="16"/>
      <c r="Z1359" s="16"/>
      <c r="AA1359" s="16"/>
      <c r="AB1359" s="16"/>
    </row>
    <row r="1360" spans="3:28" ht="12.75">
      <c r="C1360" s="16"/>
      <c r="D1360" s="16"/>
      <c r="E1360" s="16"/>
      <c r="F1360" s="16"/>
      <c r="G1360" s="16"/>
      <c r="H1360" s="16"/>
      <c r="I1360" s="16"/>
      <c r="J1360" s="16"/>
      <c r="K1360" s="16"/>
      <c r="L1360" s="16"/>
      <c r="M1360" s="16"/>
      <c r="N1360" s="16"/>
      <c r="O1360" s="16"/>
      <c r="P1360" s="16"/>
      <c r="Q1360" s="16"/>
      <c r="R1360" s="16"/>
      <c r="S1360" s="16"/>
      <c r="T1360" s="16"/>
      <c r="U1360" s="16"/>
      <c r="V1360" s="16"/>
      <c r="W1360" s="16"/>
      <c r="X1360" s="16"/>
      <c r="Y1360" s="16"/>
      <c r="Z1360" s="16"/>
      <c r="AA1360" s="16"/>
      <c r="AB1360" s="16"/>
    </row>
    <row r="1361" spans="3:28" ht="12.75">
      <c r="C1361" s="16"/>
      <c r="D1361" s="16"/>
      <c r="E1361" s="16"/>
      <c r="F1361" s="16"/>
      <c r="G1361" s="16"/>
      <c r="H1361" s="16"/>
      <c r="I1361" s="16"/>
      <c r="J1361" s="16"/>
      <c r="K1361" s="16"/>
      <c r="L1361" s="16"/>
      <c r="M1361" s="16"/>
      <c r="N1361" s="16"/>
      <c r="O1361" s="16"/>
      <c r="P1361" s="16"/>
      <c r="Q1361" s="16"/>
      <c r="R1361" s="16"/>
      <c r="S1361" s="16"/>
      <c r="T1361" s="16"/>
      <c r="U1361" s="16"/>
      <c r="V1361" s="16"/>
      <c r="W1361" s="16"/>
      <c r="X1361" s="16"/>
      <c r="Y1361" s="16"/>
      <c r="Z1361" s="16"/>
      <c r="AA1361" s="16"/>
      <c r="AB1361" s="16"/>
    </row>
    <row r="1362" spans="3:28" ht="12.75">
      <c r="C1362" s="16"/>
      <c r="D1362" s="16"/>
      <c r="E1362" s="16"/>
      <c r="F1362" s="16"/>
      <c r="G1362" s="16"/>
      <c r="H1362" s="16"/>
      <c r="I1362" s="16"/>
      <c r="J1362" s="16"/>
      <c r="K1362" s="16"/>
      <c r="L1362" s="16"/>
      <c r="M1362" s="16"/>
      <c r="N1362" s="16"/>
      <c r="O1362" s="16"/>
      <c r="P1362" s="16"/>
      <c r="Q1362" s="16"/>
      <c r="R1362" s="16"/>
      <c r="S1362" s="16"/>
      <c r="T1362" s="16"/>
      <c r="U1362" s="16"/>
      <c r="V1362" s="16"/>
      <c r="W1362" s="16"/>
      <c r="X1362" s="16"/>
      <c r="Y1362" s="16"/>
      <c r="Z1362" s="16"/>
      <c r="AA1362" s="16"/>
      <c r="AB1362" s="16"/>
    </row>
    <row r="1363" spans="3:28" ht="12.75">
      <c r="C1363" s="16"/>
      <c r="D1363" s="16"/>
      <c r="E1363" s="16"/>
      <c r="F1363" s="16"/>
      <c r="G1363" s="16"/>
      <c r="H1363" s="16"/>
      <c r="I1363" s="16"/>
      <c r="J1363" s="16"/>
      <c r="K1363" s="16"/>
      <c r="L1363" s="16"/>
      <c r="M1363" s="16"/>
      <c r="N1363" s="16"/>
      <c r="O1363" s="16"/>
      <c r="P1363" s="16"/>
      <c r="Q1363" s="16"/>
      <c r="R1363" s="16"/>
      <c r="S1363" s="16"/>
      <c r="T1363" s="16"/>
      <c r="U1363" s="16"/>
      <c r="V1363" s="16"/>
      <c r="W1363" s="16"/>
      <c r="X1363" s="16"/>
      <c r="Y1363" s="16"/>
      <c r="Z1363" s="16"/>
      <c r="AA1363" s="16"/>
      <c r="AB1363" s="16"/>
    </row>
    <row r="1364" spans="3:28" ht="12.75">
      <c r="C1364" s="16"/>
      <c r="D1364" s="16"/>
      <c r="E1364" s="16"/>
      <c r="F1364" s="16"/>
      <c r="G1364" s="16"/>
      <c r="H1364" s="16"/>
      <c r="I1364" s="16"/>
      <c r="J1364" s="16"/>
      <c r="K1364" s="16"/>
      <c r="L1364" s="16"/>
      <c r="M1364" s="16"/>
      <c r="N1364" s="16"/>
      <c r="O1364" s="16"/>
      <c r="P1364" s="16"/>
      <c r="Q1364" s="16"/>
      <c r="R1364" s="16"/>
      <c r="S1364" s="16"/>
      <c r="T1364" s="16"/>
      <c r="U1364" s="16"/>
      <c r="V1364" s="16"/>
      <c r="W1364" s="16"/>
      <c r="X1364" s="16"/>
      <c r="Y1364" s="16"/>
      <c r="Z1364" s="16"/>
      <c r="AA1364" s="16"/>
      <c r="AB1364" s="16"/>
    </row>
    <row r="1365" spans="3:28" ht="12.75">
      <c r="C1365" s="16"/>
      <c r="D1365" s="16"/>
      <c r="E1365" s="16"/>
      <c r="F1365" s="16"/>
      <c r="G1365" s="16"/>
      <c r="H1365" s="16"/>
      <c r="I1365" s="16"/>
      <c r="J1365" s="16"/>
      <c r="K1365" s="16"/>
      <c r="L1365" s="16"/>
      <c r="M1365" s="16"/>
      <c r="N1365" s="16"/>
      <c r="O1365" s="16"/>
      <c r="P1365" s="16"/>
      <c r="Q1365" s="16"/>
      <c r="R1365" s="16"/>
      <c r="S1365" s="16"/>
      <c r="T1365" s="16"/>
      <c r="U1365" s="16"/>
      <c r="V1365" s="16"/>
      <c r="W1365" s="16"/>
      <c r="X1365" s="16"/>
      <c r="Y1365" s="16"/>
      <c r="Z1365" s="16"/>
      <c r="AA1365" s="16"/>
      <c r="AB1365" s="16"/>
    </row>
    <row r="1366" spans="3:28" ht="12.75">
      <c r="C1366" s="16"/>
      <c r="D1366" s="16"/>
      <c r="E1366" s="16"/>
      <c r="F1366" s="16"/>
      <c r="G1366" s="16"/>
      <c r="H1366" s="16"/>
      <c r="I1366" s="16"/>
      <c r="J1366" s="16"/>
      <c r="K1366" s="16"/>
      <c r="L1366" s="16"/>
      <c r="M1366" s="16"/>
      <c r="N1366" s="16"/>
      <c r="O1366" s="16"/>
      <c r="P1366" s="16"/>
      <c r="Q1366" s="16"/>
      <c r="R1366" s="16"/>
      <c r="S1366" s="16"/>
      <c r="T1366" s="16"/>
      <c r="U1366" s="16"/>
      <c r="V1366" s="16"/>
      <c r="W1366" s="16"/>
      <c r="X1366" s="16"/>
      <c r="Y1366" s="16"/>
      <c r="Z1366" s="16"/>
      <c r="AA1366" s="16"/>
      <c r="AB1366" s="16"/>
    </row>
    <row r="1367" spans="3:28" ht="12.75">
      <c r="C1367" s="16"/>
      <c r="D1367" s="16"/>
      <c r="E1367" s="16"/>
      <c r="F1367" s="16"/>
      <c r="G1367" s="16"/>
      <c r="H1367" s="16"/>
      <c r="I1367" s="16"/>
      <c r="J1367" s="16"/>
      <c r="K1367" s="16"/>
      <c r="L1367" s="16"/>
      <c r="M1367" s="16"/>
      <c r="N1367" s="16"/>
      <c r="O1367" s="16"/>
      <c r="P1367" s="16"/>
      <c r="Q1367" s="16"/>
      <c r="R1367" s="16"/>
      <c r="S1367" s="16"/>
      <c r="T1367" s="16"/>
      <c r="U1367" s="16"/>
      <c r="V1367" s="16"/>
      <c r="W1367" s="16"/>
      <c r="X1367" s="16"/>
      <c r="Y1367" s="16"/>
      <c r="Z1367" s="16"/>
      <c r="AA1367" s="16"/>
      <c r="AB1367" s="16"/>
    </row>
    <row r="1368" spans="3:28" ht="12.75">
      <c r="C1368" s="16"/>
      <c r="D1368" s="16"/>
      <c r="E1368" s="16"/>
      <c r="F1368" s="16"/>
      <c r="G1368" s="16"/>
      <c r="H1368" s="16"/>
      <c r="I1368" s="16"/>
      <c r="J1368" s="16"/>
      <c r="K1368" s="16"/>
      <c r="L1368" s="16"/>
      <c r="M1368" s="16"/>
      <c r="N1368" s="16"/>
      <c r="O1368" s="16"/>
      <c r="P1368" s="16"/>
      <c r="Q1368" s="16"/>
      <c r="R1368" s="16"/>
      <c r="S1368" s="16"/>
      <c r="T1368" s="16"/>
      <c r="U1368" s="16"/>
      <c r="V1368" s="16"/>
      <c r="W1368" s="16"/>
      <c r="X1368" s="16"/>
      <c r="Y1368" s="16"/>
      <c r="Z1368" s="16"/>
      <c r="AA1368" s="16"/>
      <c r="AB1368" s="16"/>
    </row>
    <row r="1369" spans="3:28" ht="12.75">
      <c r="C1369" s="16"/>
      <c r="D1369" s="16"/>
      <c r="E1369" s="16"/>
      <c r="F1369" s="16"/>
      <c r="G1369" s="16"/>
      <c r="H1369" s="16"/>
      <c r="I1369" s="16"/>
      <c r="J1369" s="16"/>
      <c r="K1369" s="16"/>
      <c r="L1369" s="16"/>
      <c r="M1369" s="16"/>
      <c r="N1369" s="16"/>
      <c r="O1369" s="16"/>
      <c r="P1369" s="16"/>
      <c r="Q1369" s="16"/>
      <c r="R1369" s="16"/>
      <c r="S1369" s="16"/>
      <c r="T1369" s="16"/>
      <c r="U1369" s="16"/>
      <c r="V1369" s="16"/>
      <c r="W1369" s="16"/>
      <c r="X1369" s="16"/>
      <c r="Y1369" s="16"/>
      <c r="Z1369" s="16"/>
      <c r="AA1369" s="16"/>
      <c r="AB1369" s="16"/>
    </row>
    <row r="1370" spans="3:28" ht="12.75">
      <c r="C1370" s="16"/>
      <c r="D1370" s="16"/>
      <c r="E1370" s="16"/>
      <c r="F1370" s="16"/>
      <c r="G1370" s="16"/>
      <c r="H1370" s="16"/>
      <c r="I1370" s="16"/>
      <c r="J1370" s="16"/>
      <c r="K1370" s="16"/>
      <c r="L1370" s="16"/>
      <c r="M1370" s="16"/>
      <c r="N1370" s="16"/>
      <c r="O1370" s="16"/>
      <c r="P1370" s="16"/>
      <c r="Q1370" s="16"/>
      <c r="R1370" s="16"/>
      <c r="S1370" s="16"/>
      <c r="T1370" s="16"/>
      <c r="U1370" s="16"/>
      <c r="V1370" s="16"/>
      <c r="W1370" s="16"/>
      <c r="X1370" s="16"/>
      <c r="Y1370" s="16"/>
      <c r="Z1370" s="16"/>
      <c r="AA1370" s="16"/>
      <c r="AB1370" s="16"/>
    </row>
    <row r="1371" spans="3:28" ht="12.75">
      <c r="C1371" s="16"/>
      <c r="D1371" s="16"/>
      <c r="E1371" s="16"/>
      <c r="F1371" s="16"/>
      <c r="G1371" s="16"/>
      <c r="H1371" s="16"/>
      <c r="I1371" s="16"/>
      <c r="J1371" s="16"/>
      <c r="K1371" s="16"/>
      <c r="L1371" s="16"/>
      <c r="M1371" s="16"/>
      <c r="N1371" s="16"/>
      <c r="O1371" s="16"/>
      <c r="P1371" s="16"/>
      <c r="Q1371" s="16"/>
      <c r="R1371" s="16"/>
      <c r="S1371" s="16"/>
      <c r="T1371" s="16"/>
      <c r="U1371" s="16"/>
      <c r="V1371" s="16"/>
      <c r="W1371" s="16"/>
      <c r="X1371" s="16"/>
      <c r="Y1371" s="16"/>
      <c r="Z1371" s="16"/>
      <c r="AA1371" s="16"/>
      <c r="AB1371" s="16"/>
    </row>
    <row r="1372" spans="3:28" ht="12.75">
      <c r="C1372" s="16"/>
      <c r="D1372" s="16"/>
      <c r="E1372" s="16"/>
      <c r="F1372" s="16"/>
      <c r="G1372" s="16"/>
      <c r="H1372" s="16"/>
      <c r="I1372" s="16"/>
      <c r="J1372" s="16"/>
      <c r="K1372" s="16"/>
      <c r="L1372" s="16"/>
      <c r="M1372" s="16"/>
      <c r="N1372" s="16"/>
      <c r="O1372" s="16"/>
      <c r="P1372" s="16"/>
      <c r="Q1372" s="16"/>
      <c r="R1372" s="16"/>
      <c r="S1372" s="16"/>
      <c r="T1372" s="16"/>
      <c r="U1372" s="16"/>
      <c r="V1372" s="16"/>
      <c r="W1372" s="16"/>
      <c r="X1372" s="16"/>
      <c r="Y1372" s="16"/>
      <c r="Z1372" s="16"/>
      <c r="AA1372" s="16"/>
      <c r="AB1372" s="16"/>
    </row>
    <row r="1373" spans="3:28" ht="12.75">
      <c r="C1373" s="16"/>
      <c r="D1373" s="16"/>
      <c r="E1373" s="16"/>
      <c r="F1373" s="16"/>
      <c r="G1373" s="16"/>
      <c r="H1373" s="16"/>
      <c r="I1373" s="16"/>
      <c r="J1373" s="16"/>
      <c r="K1373" s="16"/>
      <c r="L1373" s="16"/>
      <c r="M1373" s="16"/>
      <c r="N1373" s="16"/>
      <c r="O1373" s="16"/>
      <c r="P1373" s="16"/>
      <c r="Q1373" s="16"/>
      <c r="R1373" s="16"/>
      <c r="S1373" s="16"/>
      <c r="T1373" s="16"/>
      <c r="U1373" s="16"/>
      <c r="V1373" s="16"/>
      <c r="W1373" s="16"/>
      <c r="X1373" s="16"/>
      <c r="Y1373" s="16"/>
      <c r="Z1373" s="16"/>
      <c r="AA1373" s="16"/>
      <c r="AB1373" s="16"/>
    </row>
    <row r="1374" spans="3:28" ht="12.75">
      <c r="C1374" s="16"/>
      <c r="D1374" s="16"/>
      <c r="E1374" s="16"/>
      <c r="F1374" s="16"/>
      <c r="G1374" s="16"/>
      <c r="H1374" s="16"/>
      <c r="I1374" s="16"/>
      <c r="J1374" s="16"/>
      <c r="K1374" s="16"/>
      <c r="L1374" s="16"/>
      <c r="M1374" s="16"/>
      <c r="N1374" s="16"/>
      <c r="O1374" s="16"/>
      <c r="P1374" s="16"/>
      <c r="Q1374" s="16"/>
      <c r="R1374" s="16"/>
      <c r="S1374" s="16"/>
      <c r="T1374" s="16"/>
      <c r="U1374" s="16"/>
      <c r="V1374" s="16"/>
      <c r="W1374" s="16"/>
      <c r="X1374" s="16"/>
      <c r="Y1374" s="16"/>
      <c r="Z1374" s="16"/>
      <c r="AA1374" s="16"/>
      <c r="AB1374" s="16"/>
    </row>
    <row r="1375" spans="3:28" ht="12.75">
      <c r="C1375" s="16"/>
      <c r="D1375" s="16"/>
      <c r="E1375" s="16"/>
      <c r="F1375" s="16"/>
      <c r="G1375" s="16"/>
      <c r="H1375" s="16"/>
      <c r="I1375" s="16"/>
      <c r="J1375" s="16"/>
      <c r="K1375" s="16"/>
      <c r="L1375" s="16"/>
      <c r="M1375" s="16"/>
      <c r="N1375" s="16"/>
      <c r="O1375" s="16"/>
      <c r="P1375" s="16"/>
      <c r="Q1375" s="16"/>
      <c r="R1375" s="16"/>
      <c r="S1375" s="16"/>
      <c r="T1375" s="16"/>
      <c r="U1375" s="16"/>
      <c r="V1375" s="16"/>
      <c r="W1375" s="16"/>
      <c r="X1375" s="16"/>
      <c r="Y1375" s="16"/>
      <c r="Z1375" s="16"/>
      <c r="AA1375" s="16"/>
      <c r="AB1375" s="16"/>
    </row>
    <row r="1376" spans="3:28" ht="12.75">
      <c r="C1376" s="16"/>
      <c r="D1376" s="16"/>
      <c r="E1376" s="16"/>
      <c r="F1376" s="16"/>
      <c r="G1376" s="16"/>
      <c r="H1376" s="16"/>
      <c r="I1376" s="16"/>
      <c r="J1376" s="16"/>
      <c r="K1376" s="16"/>
      <c r="L1376" s="16"/>
      <c r="M1376" s="16"/>
      <c r="N1376" s="16"/>
      <c r="O1376" s="16"/>
      <c r="P1376" s="16"/>
      <c r="Q1376" s="16"/>
      <c r="R1376" s="16"/>
      <c r="S1376" s="16"/>
      <c r="T1376" s="16"/>
      <c r="U1376" s="16"/>
      <c r="V1376" s="16"/>
      <c r="W1376" s="16"/>
      <c r="X1376" s="16"/>
      <c r="Y1376" s="16"/>
      <c r="Z1376" s="16"/>
      <c r="AA1376" s="16"/>
      <c r="AB1376" s="16"/>
    </row>
    <row r="1377" spans="3:28" ht="12.75">
      <c r="C1377" s="16"/>
      <c r="D1377" s="16"/>
      <c r="E1377" s="16"/>
      <c r="F1377" s="16"/>
      <c r="G1377" s="16"/>
      <c r="H1377" s="16"/>
      <c r="I1377" s="16"/>
      <c r="J1377" s="16"/>
      <c r="K1377" s="16"/>
      <c r="L1377" s="16"/>
      <c r="M1377" s="16"/>
      <c r="N1377" s="16"/>
      <c r="O1377" s="16"/>
      <c r="P1377" s="16"/>
      <c r="Q1377" s="16"/>
      <c r="R1377" s="16"/>
      <c r="S1377" s="16"/>
      <c r="T1377" s="16"/>
      <c r="U1377" s="16"/>
      <c r="V1377" s="16"/>
      <c r="W1377" s="16"/>
      <c r="X1377" s="16"/>
      <c r="Y1377" s="16"/>
      <c r="Z1377" s="16"/>
      <c r="AA1377" s="16"/>
      <c r="AB1377" s="16"/>
    </row>
    <row r="1378" spans="3:28" ht="12.75">
      <c r="C1378" s="16"/>
      <c r="D1378" s="16"/>
      <c r="E1378" s="16"/>
      <c r="F1378" s="16"/>
      <c r="G1378" s="16"/>
      <c r="H1378" s="16"/>
      <c r="I1378" s="16"/>
      <c r="J1378" s="16"/>
      <c r="K1378" s="16"/>
      <c r="L1378" s="16"/>
      <c r="M1378" s="16"/>
      <c r="N1378" s="16"/>
      <c r="O1378" s="16"/>
      <c r="P1378" s="16"/>
      <c r="Q1378" s="16"/>
      <c r="R1378" s="16"/>
      <c r="S1378" s="16"/>
      <c r="T1378" s="16"/>
      <c r="U1378" s="16"/>
      <c r="V1378" s="16"/>
      <c r="W1378" s="16"/>
      <c r="X1378" s="16"/>
      <c r="Y1378" s="16"/>
      <c r="Z1378" s="16"/>
      <c r="AA1378" s="16"/>
      <c r="AB1378" s="16"/>
    </row>
    <row r="1379" spans="3:28" ht="12.75">
      <c r="C1379" s="16"/>
      <c r="D1379" s="16"/>
      <c r="E1379" s="16"/>
      <c r="F1379" s="16"/>
      <c r="G1379" s="16"/>
      <c r="H1379" s="16"/>
      <c r="I1379" s="16"/>
      <c r="J1379" s="16"/>
      <c r="K1379" s="16"/>
      <c r="L1379" s="16"/>
      <c r="M1379" s="16"/>
      <c r="N1379" s="16"/>
      <c r="O1379" s="16"/>
      <c r="P1379" s="16"/>
      <c r="Q1379" s="16"/>
      <c r="R1379" s="16"/>
      <c r="S1379" s="16"/>
      <c r="T1379" s="16"/>
      <c r="U1379" s="16"/>
      <c r="V1379" s="16"/>
      <c r="W1379" s="16"/>
      <c r="X1379" s="16"/>
      <c r="Y1379" s="16"/>
      <c r="Z1379" s="16"/>
      <c r="AA1379" s="16"/>
      <c r="AB1379" s="16"/>
    </row>
    <row r="1380" spans="3:28" ht="12.75">
      <c r="C1380" s="16"/>
      <c r="D1380" s="16"/>
      <c r="E1380" s="16"/>
      <c r="F1380" s="16"/>
      <c r="G1380" s="16"/>
      <c r="H1380" s="16"/>
      <c r="I1380" s="16"/>
      <c r="J1380" s="16"/>
      <c r="K1380" s="16"/>
      <c r="L1380" s="16"/>
      <c r="M1380" s="16"/>
      <c r="N1380" s="16"/>
      <c r="O1380" s="16"/>
      <c r="P1380" s="16"/>
      <c r="Q1380" s="16"/>
      <c r="R1380" s="16"/>
      <c r="S1380" s="16"/>
      <c r="T1380" s="16"/>
      <c r="U1380" s="16"/>
      <c r="V1380" s="16"/>
      <c r="W1380" s="16"/>
      <c r="X1380" s="16"/>
      <c r="Y1380" s="16"/>
      <c r="Z1380" s="16"/>
      <c r="AA1380" s="16"/>
      <c r="AB1380" s="16"/>
    </row>
    <row r="1381" spans="3:28" ht="12.75">
      <c r="C1381" s="16"/>
      <c r="D1381" s="16"/>
      <c r="E1381" s="16"/>
      <c r="F1381" s="16"/>
      <c r="G1381" s="16"/>
      <c r="H1381" s="16"/>
      <c r="I1381" s="16"/>
      <c r="J1381" s="16"/>
      <c r="K1381" s="16"/>
      <c r="L1381" s="16"/>
      <c r="M1381" s="16"/>
      <c r="N1381" s="16"/>
      <c r="O1381" s="16"/>
      <c r="P1381" s="16"/>
      <c r="Q1381" s="16"/>
      <c r="R1381" s="16"/>
      <c r="S1381" s="16"/>
      <c r="T1381" s="16"/>
      <c r="U1381" s="16"/>
      <c r="V1381" s="16"/>
      <c r="W1381" s="16"/>
      <c r="X1381" s="16"/>
      <c r="Y1381" s="16"/>
      <c r="Z1381" s="16"/>
      <c r="AA1381" s="16"/>
      <c r="AB1381" s="16"/>
    </row>
    <row r="1382" spans="3:28" ht="12.75">
      <c r="C1382" s="16"/>
      <c r="D1382" s="16"/>
      <c r="E1382" s="16"/>
      <c r="F1382" s="16"/>
      <c r="G1382" s="16"/>
      <c r="H1382" s="16"/>
      <c r="I1382" s="16"/>
      <c r="J1382" s="16"/>
      <c r="K1382" s="16"/>
      <c r="L1382" s="16"/>
      <c r="M1382" s="16"/>
      <c r="N1382" s="16"/>
      <c r="O1382" s="16"/>
      <c r="P1382" s="16"/>
      <c r="Q1382" s="16"/>
      <c r="R1382" s="16"/>
      <c r="S1382" s="16"/>
      <c r="T1382" s="16"/>
      <c r="U1382" s="16"/>
      <c r="V1382" s="16"/>
      <c r="W1382" s="16"/>
      <c r="X1382" s="16"/>
      <c r="Y1382" s="16"/>
      <c r="Z1382" s="16"/>
      <c r="AA1382" s="16"/>
      <c r="AB1382" s="16"/>
    </row>
    <row r="1383" spans="3:28" ht="12.75">
      <c r="C1383" s="16"/>
      <c r="D1383" s="16"/>
      <c r="E1383" s="16"/>
      <c r="F1383" s="16"/>
      <c r="G1383" s="16"/>
      <c r="H1383" s="16"/>
      <c r="I1383" s="16"/>
      <c r="J1383" s="16"/>
      <c r="K1383" s="16"/>
      <c r="L1383" s="16"/>
      <c r="M1383" s="16"/>
      <c r="N1383" s="16"/>
      <c r="O1383" s="16"/>
      <c r="P1383" s="16"/>
      <c r="Q1383" s="16"/>
      <c r="R1383" s="16"/>
      <c r="S1383" s="16"/>
      <c r="T1383" s="16"/>
      <c r="U1383" s="16"/>
      <c r="V1383" s="16"/>
      <c r="W1383" s="16"/>
      <c r="X1383" s="16"/>
      <c r="Y1383" s="16"/>
      <c r="Z1383" s="16"/>
      <c r="AA1383" s="16"/>
      <c r="AB1383" s="16"/>
    </row>
    <row r="1384" spans="3:28" ht="12.75">
      <c r="C1384" s="16"/>
      <c r="D1384" s="16"/>
      <c r="E1384" s="16"/>
      <c r="F1384" s="16"/>
      <c r="G1384" s="16"/>
      <c r="H1384" s="16"/>
      <c r="I1384" s="16"/>
      <c r="J1384" s="16"/>
      <c r="K1384" s="16"/>
      <c r="L1384" s="16"/>
      <c r="M1384" s="16"/>
      <c r="N1384" s="16"/>
      <c r="O1384" s="16"/>
      <c r="P1384" s="16"/>
      <c r="Q1384" s="16"/>
      <c r="R1384" s="16"/>
      <c r="S1384" s="16"/>
      <c r="T1384" s="16"/>
      <c r="U1384" s="16"/>
      <c r="V1384" s="16"/>
      <c r="W1384" s="16"/>
      <c r="X1384" s="16"/>
      <c r="Y1384" s="16"/>
      <c r="Z1384" s="16"/>
      <c r="AA1384" s="16"/>
      <c r="AB1384" s="16"/>
    </row>
    <row r="1385" spans="3:28" ht="12.75">
      <c r="C1385" s="16"/>
      <c r="D1385" s="16"/>
      <c r="E1385" s="16"/>
      <c r="F1385" s="16"/>
      <c r="G1385" s="16"/>
      <c r="H1385" s="16"/>
      <c r="I1385" s="16"/>
      <c r="J1385" s="16"/>
      <c r="K1385" s="16"/>
      <c r="L1385" s="16"/>
      <c r="M1385" s="16"/>
      <c r="N1385" s="16"/>
      <c r="O1385" s="16"/>
      <c r="P1385" s="16"/>
      <c r="Q1385" s="16"/>
      <c r="R1385" s="16"/>
      <c r="S1385" s="16"/>
      <c r="T1385" s="16"/>
      <c r="U1385" s="16"/>
      <c r="V1385" s="16"/>
      <c r="W1385" s="16"/>
      <c r="X1385" s="16"/>
      <c r="Y1385" s="16"/>
      <c r="Z1385" s="16"/>
      <c r="AA1385" s="16"/>
      <c r="AB1385" s="16"/>
    </row>
    <row r="1386" spans="3:28" ht="12.75">
      <c r="C1386" s="16"/>
      <c r="D1386" s="16"/>
      <c r="E1386" s="16"/>
      <c r="F1386" s="16"/>
      <c r="G1386" s="16"/>
      <c r="H1386" s="16"/>
      <c r="I1386" s="16"/>
      <c r="J1386" s="16"/>
      <c r="K1386" s="16"/>
      <c r="L1386" s="16"/>
      <c r="M1386" s="16"/>
      <c r="N1386" s="16"/>
      <c r="O1386" s="16"/>
      <c r="P1386" s="16"/>
      <c r="Q1386" s="16"/>
      <c r="R1386" s="16"/>
      <c r="S1386" s="16"/>
      <c r="T1386" s="16"/>
      <c r="U1386" s="16"/>
      <c r="V1386" s="16"/>
      <c r="W1386" s="16"/>
      <c r="X1386" s="16"/>
      <c r="Y1386" s="16"/>
      <c r="Z1386" s="16"/>
      <c r="AA1386" s="16"/>
      <c r="AB1386" s="16"/>
    </row>
    <row r="1387" spans="3:28" ht="12.75">
      <c r="C1387" s="16"/>
      <c r="D1387" s="16"/>
      <c r="E1387" s="16"/>
      <c r="F1387" s="16"/>
      <c r="G1387" s="16"/>
      <c r="H1387" s="16"/>
      <c r="I1387" s="16"/>
      <c r="J1387" s="16"/>
      <c r="K1387" s="16"/>
      <c r="L1387" s="16"/>
      <c r="M1387" s="16"/>
      <c r="N1387" s="16"/>
      <c r="O1387" s="16"/>
      <c r="P1387" s="16"/>
      <c r="Q1387" s="16"/>
      <c r="R1387" s="16"/>
      <c r="S1387" s="16"/>
      <c r="T1387" s="16"/>
      <c r="U1387" s="16"/>
      <c r="V1387" s="16"/>
      <c r="W1387" s="16"/>
      <c r="X1387" s="16"/>
      <c r="Y1387" s="16"/>
      <c r="Z1387" s="16"/>
      <c r="AA1387" s="16"/>
      <c r="AB1387" s="16"/>
    </row>
    <row r="1388" spans="3:28" ht="12.75">
      <c r="C1388" s="16"/>
      <c r="D1388" s="16"/>
      <c r="E1388" s="16"/>
      <c r="F1388" s="16"/>
      <c r="G1388" s="16"/>
      <c r="H1388" s="16"/>
      <c r="I1388" s="16"/>
      <c r="J1388" s="16"/>
      <c r="K1388" s="16"/>
      <c r="L1388" s="16"/>
      <c r="M1388" s="16"/>
      <c r="N1388" s="16"/>
      <c r="O1388" s="16"/>
      <c r="P1388" s="16"/>
      <c r="Q1388" s="16"/>
      <c r="R1388" s="16"/>
      <c r="S1388" s="16"/>
      <c r="T1388" s="16"/>
      <c r="U1388" s="16"/>
      <c r="V1388" s="16"/>
      <c r="W1388" s="16"/>
      <c r="X1388" s="16"/>
      <c r="Y1388" s="16"/>
      <c r="Z1388" s="16"/>
      <c r="AA1388" s="16"/>
      <c r="AB1388" s="16"/>
    </row>
    <row r="1389" spans="3:28" ht="12.75">
      <c r="C1389" s="16"/>
      <c r="D1389" s="16"/>
      <c r="E1389" s="16"/>
      <c r="F1389" s="16"/>
      <c r="G1389" s="16"/>
      <c r="H1389" s="16"/>
      <c r="I1389" s="16"/>
      <c r="J1389" s="16"/>
      <c r="K1389" s="16"/>
      <c r="L1389" s="16"/>
      <c r="M1389" s="16"/>
      <c r="N1389" s="16"/>
      <c r="O1389" s="16"/>
      <c r="P1389" s="16"/>
      <c r="Q1389" s="16"/>
      <c r="R1389" s="16"/>
      <c r="S1389" s="16"/>
      <c r="T1389" s="16"/>
      <c r="U1389" s="16"/>
      <c r="V1389" s="16"/>
      <c r="W1389" s="16"/>
      <c r="X1389" s="16"/>
      <c r="Y1389" s="16"/>
      <c r="Z1389" s="16"/>
      <c r="AA1389" s="16"/>
      <c r="AB1389" s="16"/>
    </row>
    <row r="1390" spans="3:28" ht="12.75">
      <c r="C1390" s="16"/>
      <c r="D1390" s="16"/>
      <c r="E1390" s="16"/>
      <c r="F1390" s="16"/>
      <c r="G1390" s="16"/>
      <c r="H1390" s="16"/>
      <c r="I1390" s="16"/>
      <c r="J1390" s="16"/>
      <c r="K1390" s="16"/>
      <c r="L1390" s="16"/>
      <c r="M1390" s="16"/>
      <c r="N1390" s="16"/>
      <c r="O1390" s="16"/>
      <c r="P1390" s="16"/>
      <c r="Q1390" s="16"/>
      <c r="R1390" s="16"/>
      <c r="S1390" s="16"/>
      <c r="T1390" s="16"/>
      <c r="U1390" s="16"/>
      <c r="V1390" s="16"/>
      <c r="W1390" s="16"/>
      <c r="X1390" s="16"/>
      <c r="Y1390" s="16"/>
      <c r="Z1390" s="16"/>
      <c r="AA1390" s="16"/>
      <c r="AB1390" s="16"/>
    </row>
    <row r="1391" spans="3:28" ht="12.75">
      <c r="C1391" s="16"/>
      <c r="D1391" s="16"/>
      <c r="E1391" s="16"/>
      <c r="F1391" s="16"/>
      <c r="G1391" s="16"/>
      <c r="H1391" s="16"/>
      <c r="I1391" s="16"/>
      <c r="J1391" s="16"/>
      <c r="K1391" s="16"/>
      <c r="L1391" s="16"/>
      <c r="M1391" s="16"/>
      <c r="N1391" s="16"/>
      <c r="O1391" s="16"/>
      <c r="P1391" s="16"/>
      <c r="Q1391" s="16"/>
      <c r="R1391" s="16"/>
      <c r="S1391" s="16"/>
      <c r="T1391" s="16"/>
      <c r="U1391" s="16"/>
      <c r="V1391" s="16"/>
      <c r="W1391" s="16"/>
      <c r="X1391" s="16"/>
      <c r="Y1391" s="16"/>
      <c r="Z1391" s="16"/>
      <c r="AA1391" s="16"/>
      <c r="AB1391" s="16"/>
    </row>
    <row r="1392" spans="3:28" ht="12.75">
      <c r="C1392" s="16"/>
      <c r="D1392" s="16"/>
      <c r="E1392" s="16"/>
      <c r="F1392" s="16"/>
      <c r="G1392" s="16"/>
      <c r="H1392" s="16"/>
      <c r="I1392" s="16"/>
      <c r="J1392" s="16"/>
      <c r="K1392" s="16"/>
      <c r="L1392" s="16"/>
      <c r="M1392" s="16"/>
      <c r="N1392" s="16"/>
      <c r="O1392" s="16"/>
      <c r="P1392" s="16"/>
      <c r="Q1392" s="16"/>
      <c r="R1392" s="16"/>
      <c r="S1392" s="16"/>
      <c r="T1392" s="16"/>
      <c r="U1392" s="16"/>
      <c r="V1392" s="16"/>
      <c r="W1392" s="16"/>
      <c r="X1392" s="16"/>
      <c r="Y1392" s="16"/>
      <c r="Z1392" s="16"/>
      <c r="AA1392" s="16"/>
      <c r="AB1392" s="16"/>
    </row>
    <row r="1393" spans="3:28" ht="12.75">
      <c r="C1393" s="16"/>
      <c r="D1393" s="16"/>
      <c r="E1393" s="16"/>
      <c r="F1393" s="16"/>
      <c r="G1393" s="16"/>
      <c r="H1393" s="16"/>
      <c r="I1393" s="16"/>
      <c r="J1393" s="16"/>
      <c r="K1393" s="16"/>
      <c r="L1393" s="16"/>
      <c r="M1393" s="16"/>
      <c r="N1393" s="16"/>
      <c r="O1393" s="16"/>
      <c r="P1393" s="16"/>
      <c r="Q1393" s="16"/>
      <c r="R1393" s="16"/>
      <c r="S1393" s="16"/>
      <c r="T1393" s="16"/>
      <c r="U1393" s="16"/>
      <c r="V1393" s="16"/>
      <c r="W1393" s="16"/>
      <c r="X1393" s="16"/>
      <c r="Y1393" s="16"/>
      <c r="Z1393" s="16"/>
      <c r="AA1393" s="16"/>
      <c r="AB1393" s="16"/>
    </row>
    <row r="1394" spans="3:28" ht="12.75">
      <c r="C1394" s="16"/>
      <c r="D1394" s="16"/>
      <c r="E1394" s="16"/>
      <c r="F1394" s="16"/>
      <c r="G1394" s="16"/>
      <c r="H1394" s="16"/>
      <c r="I1394" s="16"/>
      <c r="J1394" s="16"/>
      <c r="K1394" s="16"/>
      <c r="L1394" s="16"/>
      <c r="M1394" s="16"/>
      <c r="N1394" s="16"/>
      <c r="O1394" s="16"/>
      <c r="P1394" s="16"/>
      <c r="Q1394" s="16"/>
      <c r="R1394" s="16"/>
      <c r="S1394" s="16"/>
      <c r="T1394" s="16"/>
      <c r="U1394" s="16"/>
      <c r="V1394" s="16"/>
      <c r="W1394" s="16"/>
      <c r="X1394" s="16"/>
      <c r="Y1394" s="16"/>
      <c r="Z1394" s="16"/>
      <c r="AA1394" s="16"/>
      <c r="AB1394" s="16"/>
    </row>
    <row r="1395" spans="3:28" ht="12.75">
      <c r="C1395" s="16"/>
      <c r="D1395" s="16"/>
      <c r="E1395" s="16"/>
      <c r="F1395" s="16"/>
      <c r="G1395" s="16"/>
      <c r="H1395" s="16"/>
      <c r="I1395" s="16"/>
      <c r="J1395" s="16"/>
      <c r="K1395" s="16"/>
      <c r="L1395" s="16"/>
      <c r="M1395" s="16"/>
      <c r="N1395" s="16"/>
      <c r="O1395" s="16"/>
      <c r="P1395" s="16"/>
      <c r="Q1395" s="16"/>
      <c r="R1395" s="16"/>
      <c r="S1395" s="16"/>
      <c r="T1395" s="16"/>
      <c r="U1395" s="16"/>
      <c r="V1395" s="16"/>
      <c r="W1395" s="16"/>
      <c r="X1395" s="16"/>
      <c r="Y1395" s="16"/>
      <c r="Z1395" s="16"/>
      <c r="AA1395" s="16"/>
      <c r="AB1395" s="16"/>
    </row>
    <row r="1396" spans="3:28" ht="12.75">
      <c r="C1396" s="16"/>
      <c r="D1396" s="16"/>
      <c r="E1396" s="16"/>
      <c r="F1396" s="16"/>
      <c r="G1396" s="16"/>
      <c r="H1396" s="16"/>
      <c r="I1396" s="16"/>
      <c r="J1396" s="16"/>
      <c r="K1396" s="16"/>
      <c r="L1396" s="16"/>
      <c r="M1396" s="16"/>
      <c r="N1396" s="16"/>
      <c r="O1396" s="16"/>
      <c r="P1396" s="16"/>
      <c r="Q1396" s="16"/>
      <c r="R1396" s="16"/>
      <c r="S1396" s="16"/>
      <c r="T1396" s="16"/>
      <c r="U1396" s="16"/>
      <c r="V1396" s="16"/>
      <c r="W1396" s="16"/>
      <c r="X1396" s="16"/>
      <c r="Y1396" s="16"/>
      <c r="Z1396" s="16"/>
      <c r="AA1396" s="16"/>
      <c r="AB1396" s="16"/>
    </row>
    <row r="1397" spans="3:28" ht="12.75">
      <c r="C1397" s="16"/>
      <c r="D1397" s="16"/>
      <c r="E1397" s="16"/>
      <c r="F1397" s="16"/>
      <c r="G1397" s="16"/>
      <c r="H1397" s="16"/>
      <c r="I1397" s="16"/>
      <c r="J1397" s="16"/>
      <c r="K1397" s="16"/>
      <c r="L1397" s="16"/>
      <c r="M1397" s="16"/>
      <c r="N1397" s="16"/>
      <c r="O1397" s="16"/>
      <c r="P1397" s="16"/>
      <c r="Q1397" s="16"/>
      <c r="R1397" s="16"/>
      <c r="S1397" s="16"/>
      <c r="T1397" s="16"/>
      <c r="U1397" s="16"/>
      <c r="V1397" s="16"/>
      <c r="W1397" s="16"/>
      <c r="X1397" s="16"/>
      <c r="Y1397" s="16"/>
      <c r="Z1397" s="16"/>
      <c r="AA1397" s="16"/>
      <c r="AB1397" s="16"/>
    </row>
    <row r="1398" spans="3:28" ht="12.75">
      <c r="C1398" s="16"/>
      <c r="D1398" s="16"/>
      <c r="E1398" s="16"/>
      <c r="F1398" s="16"/>
      <c r="G1398" s="16"/>
      <c r="H1398" s="16"/>
      <c r="I1398" s="16"/>
      <c r="J1398" s="16"/>
      <c r="K1398" s="16"/>
      <c r="L1398" s="16"/>
      <c r="M1398" s="16"/>
      <c r="N1398" s="16"/>
      <c r="O1398" s="16"/>
      <c r="P1398" s="16"/>
      <c r="Q1398" s="16"/>
      <c r="R1398" s="16"/>
      <c r="S1398" s="16"/>
      <c r="T1398" s="16"/>
      <c r="U1398" s="16"/>
      <c r="V1398" s="16"/>
      <c r="W1398" s="16"/>
      <c r="X1398" s="16"/>
      <c r="Y1398" s="16"/>
      <c r="Z1398" s="16"/>
      <c r="AA1398" s="16"/>
      <c r="AB1398" s="16"/>
    </row>
    <row r="1399" spans="3:28" ht="12.75">
      <c r="C1399" s="16"/>
      <c r="D1399" s="16"/>
      <c r="E1399" s="16"/>
      <c r="F1399" s="16"/>
      <c r="G1399" s="16"/>
      <c r="H1399" s="16"/>
      <c r="I1399" s="16"/>
      <c r="J1399" s="16"/>
      <c r="K1399" s="16"/>
      <c r="L1399" s="16"/>
      <c r="M1399" s="16"/>
      <c r="N1399" s="16"/>
      <c r="O1399" s="16"/>
      <c r="P1399" s="16"/>
      <c r="Q1399" s="16"/>
      <c r="R1399" s="16"/>
      <c r="S1399" s="16"/>
      <c r="T1399" s="16"/>
      <c r="U1399" s="16"/>
      <c r="V1399" s="16"/>
      <c r="W1399" s="16"/>
      <c r="X1399" s="16"/>
      <c r="Y1399" s="16"/>
      <c r="Z1399" s="16"/>
      <c r="AA1399" s="16"/>
      <c r="AB1399" s="16"/>
    </row>
    <row r="1400" spans="3:28" ht="12.75">
      <c r="C1400" s="16"/>
      <c r="D1400" s="16"/>
      <c r="E1400" s="16"/>
      <c r="F1400" s="16"/>
      <c r="G1400" s="16"/>
      <c r="H1400" s="16"/>
      <c r="I1400" s="16"/>
      <c r="J1400" s="16"/>
      <c r="K1400" s="16"/>
      <c r="L1400" s="16"/>
      <c r="M1400" s="16"/>
      <c r="N1400" s="16"/>
      <c r="O1400" s="16"/>
      <c r="P1400" s="16"/>
      <c r="Q1400" s="16"/>
      <c r="R1400" s="16"/>
      <c r="S1400" s="16"/>
      <c r="T1400" s="16"/>
      <c r="U1400" s="16"/>
      <c r="V1400" s="16"/>
      <c r="W1400" s="16"/>
      <c r="X1400" s="16"/>
      <c r="Y1400" s="16"/>
      <c r="Z1400" s="16"/>
      <c r="AA1400" s="16"/>
      <c r="AB1400" s="16"/>
    </row>
    <row r="1401" spans="3:28" ht="12.75">
      <c r="C1401" s="16"/>
      <c r="D1401" s="16"/>
      <c r="E1401" s="16"/>
      <c r="F1401" s="16"/>
      <c r="G1401" s="16"/>
      <c r="H1401" s="16"/>
      <c r="I1401" s="16"/>
      <c r="J1401" s="16"/>
      <c r="K1401" s="16"/>
      <c r="L1401" s="16"/>
      <c r="M1401" s="16"/>
      <c r="N1401" s="16"/>
      <c r="O1401" s="16"/>
      <c r="P1401" s="16"/>
      <c r="Q1401" s="16"/>
      <c r="R1401" s="16"/>
      <c r="S1401" s="16"/>
      <c r="T1401" s="16"/>
      <c r="U1401" s="16"/>
      <c r="V1401" s="16"/>
      <c r="W1401" s="16"/>
      <c r="X1401" s="16"/>
      <c r="Y1401" s="16"/>
      <c r="Z1401" s="16"/>
      <c r="AA1401" s="16"/>
      <c r="AB1401" s="16"/>
    </row>
    <row r="1402" spans="3:28" ht="12.75">
      <c r="C1402" s="16"/>
      <c r="D1402" s="16"/>
      <c r="E1402" s="16"/>
      <c r="F1402" s="16"/>
      <c r="G1402" s="16"/>
      <c r="H1402" s="16"/>
      <c r="I1402" s="16"/>
      <c r="J1402" s="16"/>
      <c r="K1402" s="16"/>
      <c r="L1402" s="16"/>
      <c r="M1402" s="16"/>
      <c r="N1402" s="16"/>
      <c r="O1402" s="16"/>
      <c r="P1402" s="16"/>
      <c r="Q1402" s="16"/>
      <c r="R1402" s="16"/>
      <c r="S1402" s="16"/>
      <c r="T1402" s="16"/>
      <c r="U1402" s="16"/>
      <c r="V1402" s="16"/>
      <c r="W1402" s="16"/>
      <c r="X1402" s="16"/>
      <c r="Y1402" s="16"/>
      <c r="Z1402" s="16"/>
      <c r="AA1402" s="16"/>
      <c r="AB1402" s="16"/>
    </row>
    <row r="1403" spans="3:28" ht="12.75">
      <c r="C1403" s="16"/>
      <c r="D1403" s="16"/>
      <c r="E1403" s="16"/>
      <c r="F1403" s="16"/>
      <c r="G1403" s="16"/>
      <c r="H1403" s="16"/>
      <c r="I1403" s="16"/>
      <c r="J1403" s="16"/>
      <c r="K1403" s="16"/>
      <c r="L1403" s="16"/>
      <c r="M1403" s="16"/>
      <c r="N1403" s="16"/>
      <c r="O1403" s="16"/>
      <c r="P1403" s="16"/>
      <c r="Q1403" s="16"/>
      <c r="R1403" s="16"/>
      <c r="S1403" s="16"/>
      <c r="T1403" s="16"/>
      <c r="U1403" s="16"/>
      <c r="V1403" s="16"/>
      <c r="W1403" s="16"/>
      <c r="X1403" s="16"/>
      <c r="Y1403" s="16"/>
      <c r="Z1403" s="16"/>
      <c r="AA1403" s="16"/>
      <c r="AB1403" s="16"/>
    </row>
    <row r="1404" spans="3:28" ht="12.75">
      <c r="C1404" s="16"/>
      <c r="D1404" s="16"/>
      <c r="E1404" s="16"/>
      <c r="F1404" s="16"/>
      <c r="G1404" s="16"/>
      <c r="H1404" s="16"/>
      <c r="I1404" s="16"/>
      <c r="J1404" s="16"/>
      <c r="K1404" s="16"/>
      <c r="L1404" s="16"/>
      <c r="M1404" s="16"/>
      <c r="N1404" s="16"/>
      <c r="O1404" s="16"/>
      <c r="P1404" s="16"/>
      <c r="Q1404" s="16"/>
      <c r="R1404" s="16"/>
      <c r="S1404" s="16"/>
      <c r="T1404" s="16"/>
      <c r="U1404" s="16"/>
      <c r="V1404" s="16"/>
      <c r="W1404" s="16"/>
      <c r="X1404" s="16"/>
      <c r="Y1404" s="16"/>
      <c r="Z1404" s="16"/>
      <c r="AA1404" s="16"/>
      <c r="AB1404" s="16"/>
    </row>
    <row r="1405" spans="3:28" ht="12.75">
      <c r="C1405" s="16"/>
      <c r="D1405" s="16"/>
      <c r="E1405" s="16"/>
      <c r="F1405" s="16"/>
      <c r="G1405" s="16"/>
      <c r="H1405" s="16"/>
      <c r="I1405" s="16"/>
      <c r="J1405" s="16"/>
      <c r="K1405" s="16"/>
      <c r="L1405" s="16"/>
      <c r="M1405" s="16"/>
      <c r="N1405" s="16"/>
      <c r="O1405" s="16"/>
      <c r="P1405" s="16"/>
      <c r="Q1405" s="16"/>
      <c r="R1405" s="16"/>
      <c r="S1405" s="16"/>
      <c r="T1405" s="16"/>
      <c r="U1405" s="16"/>
      <c r="V1405" s="16"/>
      <c r="W1405" s="16"/>
      <c r="X1405" s="16"/>
      <c r="Y1405" s="16"/>
      <c r="Z1405" s="16"/>
      <c r="AA1405" s="16"/>
      <c r="AB1405" s="16"/>
    </row>
    <row r="1406" spans="3:28" ht="12.75">
      <c r="C1406" s="16"/>
      <c r="D1406" s="16"/>
      <c r="E1406" s="16"/>
      <c r="F1406" s="16"/>
      <c r="G1406" s="16"/>
      <c r="H1406" s="16"/>
      <c r="I1406" s="16"/>
      <c r="J1406" s="16"/>
      <c r="K1406" s="16"/>
      <c r="L1406" s="16"/>
      <c r="M1406" s="16"/>
      <c r="N1406" s="16"/>
      <c r="O1406" s="16"/>
      <c r="P1406" s="16"/>
      <c r="Q1406" s="16"/>
      <c r="R1406" s="16"/>
      <c r="S1406" s="16"/>
      <c r="T1406" s="16"/>
      <c r="U1406" s="16"/>
      <c r="V1406" s="16"/>
      <c r="W1406" s="16"/>
      <c r="X1406" s="16"/>
      <c r="Y1406" s="16"/>
      <c r="Z1406" s="16"/>
      <c r="AA1406" s="16"/>
      <c r="AB1406" s="16"/>
    </row>
    <row r="1407" spans="3:28" ht="12.75">
      <c r="C1407" s="16"/>
      <c r="D1407" s="16"/>
      <c r="E1407" s="16"/>
      <c r="F1407" s="16"/>
      <c r="G1407" s="16"/>
      <c r="H1407" s="16"/>
      <c r="I1407" s="16"/>
      <c r="J1407" s="16"/>
      <c r="K1407" s="16"/>
      <c r="L1407" s="16"/>
      <c r="M1407" s="16"/>
      <c r="N1407" s="16"/>
      <c r="O1407" s="16"/>
      <c r="P1407" s="16"/>
      <c r="Q1407" s="16"/>
      <c r="R1407" s="16"/>
      <c r="S1407" s="16"/>
      <c r="T1407" s="16"/>
      <c r="U1407" s="16"/>
      <c r="V1407" s="16"/>
      <c r="W1407" s="16"/>
      <c r="X1407" s="16"/>
      <c r="Y1407" s="16"/>
      <c r="Z1407" s="16"/>
      <c r="AA1407" s="16"/>
      <c r="AB1407" s="16"/>
    </row>
    <row r="1408" spans="3:28" ht="12.75">
      <c r="C1408" s="16"/>
      <c r="D1408" s="16"/>
      <c r="E1408" s="16"/>
      <c r="F1408" s="16"/>
      <c r="G1408" s="16"/>
      <c r="H1408" s="16"/>
      <c r="I1408" s="16"/>
      <c r="J1408" s="16"/>
      <c r="K1408" s="16"/>
      <c r="L1408" s="16"/>
      <c r="M1408" s="16"/>
      <c r="N1408" s="16"/>
      <c r="O1408" s="16"/>
      <c r="P1408" s="16"/>
      <c r="Q1408" s="16"/>
      <c r="R1408" s="16"/>
      <c r="S1408" s="16"/>
      <c r="T1408" s="16"/>
      <c r="U1408" s="16"/>
      <c r="V1408" s="16"/>
      <c r="W1408" s="16"/>
      <c r="X1408" s="16"/>
      <c r="Y1408" s="16"/>
      <c r="Z1408" s="16"/>
      <c r="AA1408" s="16"/>
      <c r="AB1408" s="16"/>
    </row>
    <row r="1409" spans="3:28" ht="12.75">
      <c r="C1409" s="16"/>
      <c r="D1409" s="16"/>
      <c r="E1409" s="16"/>
      <c r="F1409" s="16"/>
      <c r="G1409" s="16"/>
      <c r="H1409" s="16"/>
      <c r="I1409" s="16"/>
      <c r="J1409" s="16"/>
      <c r="K1409" s="16"/>
      <c r="L1409" s="16"/>
      <c r="M1409" s="16"/>
      <c r="N1409" s="16"/>
      <c r="O1409" s="16"/>
      <c r="P1409" s="16"/>
      <c r="Q1409" s="16"/>
      <c r="R1409" s="16"/>
      <c r="S1409" s="16"/>
      <c r="T1409" s="16"/>
      <c r="U1409" s="16"/>
      <c r="V1409" s="16"/>
      <c r="W1409" s="16"/>
      <c r="X1409" s="16"/>
      <c r="Y1409" s="16"/>
      <c r="Z1409" s="16"/>
      <c r="AA1409" s="16"/>
      <c r="AB1409" s="16"/>
    </row>
    <row r="1410" spans="3:28" ht="12.75">
      <c r="C1410" s="16"/>
      <c r="D1410" s="16"/>
      <c r="E1410" s="16"/>
      <c r="F1410" s="16"/>
      <c r="G1410" s="16"/>
      <c r="H1410" s="16"/>
      <c r="I1410" s="16"/>
      <c r="J1410" s="16"/>
      <c r="K1410" s="16"/>
      <c r="L1410" s="16"/>
      <c r="M1410" s="16"/>
      <c r="N1410" s="16"/>
      <c r="O1410" s="16"/>
      <c r="P1410" s="16"/>
      <c r="Q1410" s="16"/>
      <c r="R1410" s="16"/>
      <c r="S1410" s="16"/>
      <c r="T1410" s="16"/>
      <c r="U1410" s="16"/>
      <c r="V1410" s="16"/>
      <c r="W1410" s="16"/>
      <c r="X1410" s="16"/>
      <c r="Y1410" s="16"/>
      <c r="Z1410" s="16"/>
      <c r="AA1410" s="16"/>
      <c r="AB1410" s="16"/>
    </row>
    <row r="1411" spans="3:28" ht="12.75">
      <c r="C1411" s="16"/>
      <c r="D1411" s="16"/>
      <c r="E1411" s="16"/>
      <c r="F1411" s="16"/>
      <c r="G1411" s="16"/>
      <c r="H1411" s="16"/>
      <c r="I1411" s="16"/>
      <c r="J1411" s="16"/>
      <c r="K1411" s="16"/>
      <c r="L1411" s="16"/>
      <c r="M1411" s="16"/>
      <c r="N1411" s="16"/>
      <c r="O1411" s="16"/>
      <c r="P1411" s="16"/>
      <c r="Q1411" s="16"/>
      <c r="R1411" s="16"/>
      <c r="S1411" s="16"/>
      <c r="T1411" s="16"/>
      <c r="U1411" s="16"/>
      <c r="V1411" s="16"/>
      <c r="W1411" s="16"/>
      <c r="X1411" s="16"/>
      <c r="Y1411" s="16"/>
      <c r="Z1411" s="16"/>
      <c r="AA1411" s="16"/>
      <c r="AB1411" s="16"/>
    </row>
    <row r="1412" spans="3:28" ht="12.75">
      <c r="C1412" s="16"/>
      <c r="D1412" s="16"/>
      <c r="E1412" s="16"/>
      <c r="F1412" s="16"/>
      <c r="G1412" s="16"/>
      <c r="H1412" s="16"/>
      <c r="I1412" s="16"/>
      <c r="J1412" s="16"/>
      <c r="K1412" s="16"/>
      <c r="L1412" s="16"/>
      <c r="M1412" s="16"/>
      <c r="N1412" s="16"/>
      <c r="O1412" s="16"/>
      <c r="P1412" s="16"/>
      <c r="Q1412" s="16"/>
      <c r="R1412" s="16"/>
      <c r="S1412" s="16"/>
      <c r="T1412" s="16"/>
      <c r="U1412" s="16"/>
      <c r="V1412" s="16"/>
      <c r="W1412" s="16"/>
      <c r="X1412" s="16"/>
      <c r="Y1412" s="16"/>
      <c r="Z1412" s="16"/>
      <c r="AA1412" s="16"/>
      <c r="AB1412" s="16"/>
    </row>
    <row r="1413" spans="3:28" ht="12.75">
      <c r="C1413" s="16"/>
      <c r="D1413" s="16"/>
      <c r="E1413" s="16"/>
      <c r="F1413" s="16"/>
      <c r="G1413" s="16"/>
      <c r="H1413" s="16"/>
      <c r="I1413" s="16"/>
      <c r="J1413" s="16"/>
      <c r="K1413" s="16"/>
      <c r="L1413" s="16"/>
      <c r="M1413" s="16"/>
      <c r="N1413" s="16"/>
      <c r="O1413" s="16"/>
      <c r="P1413" s="16"/>
      <c r="Q1413" s="16"/>
      <c r="R1413" s="16"/>
      <c r="S1413" s="16"/>
      <c r="T1413" s="16"/>
      <c r="U1413" s="16"/>
      <c r="V1413" s="16"/>
      <c r="W1413" s="16"/>
      <c r="X1413" s="16"/>
      <c r="Y1413" s="16"/>
      <c r="Z1413" s="16"/>
      <c r="AA1413" s="16"/>
      <c r="AB1413" s="16"/>
    </row>
    <row r="1414" spans="3:28" ht="12.75">
      <c r="C1414" s="16"/>
      <c r="D1414" s="16"/>
      <c r="E1414" s="16"/>
      <c r="F1414" s="16"/>
      <c r="G1414" s="16"/>
      <c r="H1414" s="16"/>
      <c r="I1414" s="16"/>
      <c r="J1414" s="16"/>
      <c r="K1414" s="16"/>
      <c r="L1414" s="16"/>
      <c r="M1414" s="16"/>
      <c r="N1414" s="16"/>
      <c r="O1414" s="16"/>
      <c r="P1414" s="16"/>
      <c r="Q1414" s="16"/>
      <c r="R1414" s="16"/>
      <c r="S1414" s="16"/>
      <c r="T1414" s="16"/>
      <c r="U1414" s="16"/>
      <c r="V1414" s="16"/>
      <c r="W1414" s="16"/>
      <c r="X1414" s="16"/>
      <c r="Y1414" s="16"/>
      <c r="Z1414" s="16"/>
      <c r="AA1414" s="16"/>
      <c r="AB1414" s="16"/>
    </row>
    <row r="1415" spans="3:28" ht="12.75">
      <c r="C1415" s="16"/>
      <c r="D1415" s="16"/>
      <c r="E1415" s="16"/>
      <c r="F1415" s="16"/>
      <c r="G1415" s="16"/>
      <c r="H1415" s="16"/>
      <c r="I1415" s="16"/>
      <c r="J1415" s="16"/>
      <c r="K1415" s="16"/>
      <c r="L1415" s="16"/>
      <c r="M1415" s="16"/>
      <c r="N1415" s="16"/>
      <c r="O1415" s="16"/>
      <c r="P1415" s="16"/>
      <c r="Q1415" s="16"/>
      <c r="R1415" s="16"/>
      <c r="S1415" s="16"/>
      <c r="T1415" s="16"/>
      <c r="U1415" s="16"/>
      <c r="V1415" s="16"/>
      <c r="W1415" s="16"/>
      <c r="X1415" s="16"/>
      <c r="Y1415" s="16"/>
      <c r="Z1415" s="16"/>
      <c r="AA1415" s="16"/>
      <c r="AB1415" s="16"/>
    </row>
    <row r="1416" spans="3:28" ht="12.75">
      <c r="C1416" s="16"/>
      <c r="D1416" s="16"/>
      <c r="E1416" s="16"/>
      <c r="F1416" s="16"/>
      <c r="G1416" s="16"/>
      <c r="H1416" s="16"/>
      <c r="I1416" s="16"/>
      <c r="J1416" s="16"/>
      <c r="K1416" s="16"/>
      <c r="L1416" s="16"/>
      <c r="M1416" s="16"/>
      <c r="N1416" s="16"/>
      <c r="O1416" s="16"/>
      <c r="P1416" s="16"/>
      <c r="Q1416" s="16"/>
      <c r="R1416" s="16"/>
      <c r="S1416" s="16"/>
      <c r="T1416" s="16"/>
      <c r="U1416" s="16"/>
      <c r="V1416" s="16"/>
      <c r="W1416" s="16"/>
      <c r="X1416" s="16"/>
      <c r="Y1416" s="16"/>
      <c r="Z1416" s="16"/>
      <c r="AA1416" s="16"/>
      <c r="AB1416" s="16"/>
    </row>
    <row r="1417" spans="3:28" ht="12.75">
      <c r="C1417" s="16"/>
      <c r="D1417" s="16"/>
      <c r="E1417" s="16"/>
      <c r="F1417" s="16"/>
      <c r="G1417" s="16"/>
      <c r="H1417" s="16"/>
      <c r="I1417" s="16"/>
      <c r="J1417" s="16"/>
      <c r="K1417" s="16"/>
      <c r="L1417" s="16"/>
      <c r="M1417" s="16"/>
      <c r="N1417" s="16"/>
      <c r="O1417" s="16"/>
      <c r="P1417" s="16"/>
      <c r="Q1417" s="16"/>
      <c r="R1417" s="16"/>
      <c r="S1417" s="16"/>
      <c r="T1417" s="16"/>
      <c r="U1417" s="16"/>
      <c r="V1417" s="16"/>
      <c r="W1417" s="16"/>
      <c r="X1417" s="16"/>
      <c r="Y1417" s="16"/>
      <c r="Z1417" s="16"/>
      <c r="AA1417" s="16"/>
      <c r="AB1417" s="16"/>
    </row>
    <row r="1418" spans="3:28" ht="12.75">
      <c r="C1418" s="16"/>
      <c r="D1418" s="16"/>
      <c r="E1418" s="16"/>
      <c r="F1418" s="16"/>
      <c r="G1418" s="16"/>
      <c r="H1418" s="16"/>
      <c r="I1418" s="16"/>
      <c r="J1418" s="16"/>
      <c r="K1418" s="16"/>
      <c r="L1418" s="16"/>
      <c r="M1418" s="16"/>
      <c r="N1418" s="16"/>
      <c r="O1418" s="16"/>
      <c r="P1418" s="16"/>
      <c r="Q1418" s="16"/>
      <c r="R1418" s="16"/>
      <c r="S1418" s="16"/>
      <c r="T1418" s="16"/>
      <c r="U1418" s="16"/>
      <c r="V1418" s="16"/>
      <c r="W1418" s="16"/>
      <c r="X1418" s="16"/>
      <c r="Y1418" s="16"/>
      <c r="Z1418" s="16"/>
      <c r="AA1418" s="16"/>
      <c r="AB1418" s="16"/>
    </row>
    <row r="1419" spans="3:28" ht="12.75">
      <c r="C1419" s="16"/>
      <c r="D1419" s="16"/>
      <c r="E1419" s="16"/>
      <c r="F1419" s="16"/>
      <c r="G1419" s="16"/>
      <c r="H1419" s="16"/>
      <c r="I1419" s="16"/>
      <c r="J1419" s="16"/>
      <c r="K1419" s="16"/>
      <c r="L1419" s="16"/>
      <c r="M1419" s="16"/>
      <c r="N1419" s="16"/>
      <c r="O1419" s="16"/>
      <c r="P1419" s="16"/>
      <c r="Q1419" s="16"/>
      <c r="R1419" s="16"/>
      <c r="S1419" s="16"/>
      <c r="T1419" s="16"/>
      <c r="U1419" s="16"/>
      <c r="V1419" s="16"/>
      <c r="W1419" s="16"/>
      <c r="X1419" s="16"/>
      <c r="Y1419" s="16"/>
      <c r="Z1419" s="16"/>
      <c r="AA1419" s="16"/>
      <c r="AB1419" s="16"/>
    </row>
    <row r="1420" spans="3:28" ht="12.75">
      <c r="C1420" s="16"/>
      <c r="D1420" s="16"/>
      <c r="E1420" s="16"/>
      <c r="F1420" s="16"/>
      <c r="G1420" s="16"/>
      <c r="H1420" s="16"/>
      <c r="I1420" s="16"/>
      <c r="J1420" s="16"/>
      <c r="K1420" s="16"/>
      <c r="L1420" s="16"/>
      <c r="M1420" s="16"/>
      <c r="N1420" s="16"/>
      <c r="O1420" s="16"/>
      <c r="P1420" s="16"/>
      <c r="Q1420" s="16"/>
      <c r="R1420" s="16"/>
      <c r="S1420" s="16"/>
      <c r="T1420" s="16"/>
      <c r="U1420" s="16"/>
      <c r="V1420" s="16"/>
      <c r="W1420" s="16"/>
      <c r="X1420" s="16"/>
      <c r="Y1420" s="16"/>
      <c r="Z1420" s="16"/>
      <c r="AA1420" s="16"/>
      <c r="AB1420" s="16"/>
    </row>
    <row r="1421" spans="3:28" ht="12.75">
      <c r="C1421" s="16"/>
      <c r="D1421" s="16"/>
      <c r="E1421" s="16"/>
      <c r="F1421" s="16"/>
      <c r="G1421" s="16"/>
      <c r="H1421" s="16"/>
      <c r="I1421" s="16"/>
      <c r="J1421" s="16"/>
      <c r="K1421" s="16"/>
      <c r="L1421" s="16"/>
      <c r="M1421" s="16"/>
      <c r="N1421" s="16"/>
      <c r="O1421" s="16"/>
      <c r="P1421" s="16"/>
      <c r="Q1421" s="16"/>
      <c r="R1421" s="16"/>
      <c r="S1421" s="16"/>
      <c r="T1421" s="16"/>
      <c r="U1421" s="16"/>
      <c r="V1421" s="16"/>
      <c r="W1421" s="16"/>
      <c r="X1421" s="16"/>
      <c r="Y1421" s="16"/>
      <c r="Z1421" s="16"/>
      <c r="AA1421" s="16"/>
      <c r="AB1421" s="16"/>
    </row>
    <row r="1422" spans="3:28" ht="12.75">
      <c r="C1422" s="16"/>
      <c r="D1422" s="16"/>
      <c r="E1422" s="16"/>
      <c r="F1422" s="16"/>
      <c r="G1422" s="16"/>
      <c r="H1422" s="16"/>
      <c r="I1422" s="16"/>
      <c r="J1422" s="16"/>
      <c r="K1422" s="16"/>
      <c r="L1422" s="16"/>
      <c r="M1422" s="16"/>
      <c r="N1422" s="16"/>
      <c r="O1422" s="16"/>
      <c r="P1422" s="16"/>
      <c r="Q1422" s="16"/>
      <c r="R1422" s="16"/>
      <c r="S1422" s="16"/>
      <c r="T1422" s="16"/>
      <c r="U1422" s="16"/>
      <c r="V1422" s="16"/>
      <c r="W1422" s="16"/>
      <c r="X1422" s="16"/>
      <c r="Y1422" s="16"/>
      <c r="Z1422" s="16"/>
      <c r="AA1422" s="16"/>
      <c r="AB1422" s="16"/>
    </row>
    <row r="1423" spans="3:28" ht="12.75">
      <c r="C1423" s="16"/>
      <c r="D1423" s="16"/>
      <c r="E1423" s="16"/>
      <c r="F1423" s="16"/>
      <c r="G1423" s="16"/>
      <c r="H1423" s="16"/>
      <c r="I1423" s="16"/>
      <c r="J1423" s="16"/>
      <c r="K1423" s="16"/>
      <c r="L1423" s="16"/>
      <c r="M1423" s="16"/>
      <c r="N1423" s="16"/>
      <c r="O1423" s="16"/>
      <c r="P1423" s="16"/>
      <c r="Q1423" s="16"/>
      <c r="R1423" s="16"/>
      <c r="S1423" s="16"/>
      <c r="T1423" s="16"/>
      <c r="U1423" s="16"/>
      <c r="V1423" s="16"/>
      <c r="W1423" s="16"/>
      <c r="X1423" s="16"/>
      <c r="Y1423" s="16"/>
      <c r="Z1423" s="16"/>
      <c r="AA1423" s="16"/>
      <c r="AB1423" s="16"/>
    </row>
    <row r="1424" spans="3:28" ht="12.75">
      <c r="C1424" s="16"/>
      <c r="D1424" s="16"/>
      <c r="E1424" s="16"/>
      <c r="F1424" s="16"/>
      <c r="G1424" s="16"/>
      <c r="H1424" s="16"/>
      <c r="I1424" s="16"/>
      <c r="J1424" s="16"/>
      <c r="K1424" s="16"/>
      <c r="L1424" s="16"/>
      <c r="M1424" s="16"/>
      <c r="N1424" s="16"/>
      <c r="O1424" s="16"/>
      <c r="P1424" s="16"/>
      <c r="Q1424" s="16"/>
      <c r="R1424" s="16"/>
      <c r="S1424" s="16"/>
      <c r="T1424" s="16"/>
      <c r="U1424" s="16"/>
      <c r="V1424" s="16"/>
      <c r="W1424" s="16"/>
      <c r="X1424" s="16"/>
      <c r="Y1424" s="16"/>
      <c r="Z1424" s="16"/>
      <c r="AA1424" s="16"/>
      <c r="AB1424" s="16"/>
    </row>
    <row r="1425" spans="3:28" ht="12.75">
      <c r="C1425" s="16"/>
      <c r="D1425" s="16"/>
      <c r="E1425" s="16"/>
      <c r="F1425" s="16"/>
      <c r="G1425" s="16"/>
      <c r="H1425" s="16"/>
      <c r="I1425" s="16"/>
      <c r="J1425" s="16"/>
      <c r="K1425" s="16"/>
      <c r="L1425" s="16"/>
      <c r="M1425" s="16"/>
      <c r="N1425" s="16"/>
      <c r="O1425" s="16"/>
      <c r="P1425" s="16"/>
      <c r="Q1425" s="16"/>
      <c r="R1425" s="16"/>
      <c r="S1425" s="16"/>
      <c r="T1425" s="16"/>
      <c r="U1425" s="16"/>
      <c r="V1425" s="16"/>
      <c r="W1425" s="16"/>
      <c r="X1425" s="16"/>
      <c r="Y1425" s="16"/>
      <c r="Z1425" s="16"/>
      <c r="AA1425" s="16"/>
      <c r="AB1425" s="16"/>
    </row>
    <row r="1426" spans="3:28" ht="12.75">
      <c r="C1426" s="16"/>
      <c r="D1426" s="16"/>
      <c r="E1426" s="16"/>
      <c r="F1426" s="16"/>
      <c r="G1426" s="16"/>
      <c r="H1426" s="16"/>
      <c r="I1426" s="16"/>
      <c r="J1426" s="16"/>
      <c r="K1426" s="16"/>
      <c r="L1426" s="16"/>
      <c r="M1426" s="16"/>
      <c r="N1426" s="16"/>
      <c r="O1426" s="16"/>
      <c r="P1426" s="16"/>
      <c r="Q1426" s="16"/>
      <c r="R1426" s="16"/>
      <c r="S1426" s="16"/>
      <c r="T1426" s="16"/>
      <c r="U1426" s="16"/>
      <c r="V1426" s="16"/>
      <c r="W1426" s="16"/>
      <c r="X1426" s="16"/>
      <c r="Y1426" s="16"/>
      <c r="Z1426" s="16"/>
      <c r="AA1426" s="16"/>
      <c r="AB1426" s="16"/>
    </row>
    <row r="1427" spans="3:28" ht="12.75">
      <c r="C1427" s="16"/>
      <c r="D1427" s="16"/>
      <c r="E1427" s="16"/>
      <c r="F1427" s="16"/>
      <c r="G1427" s="16"/>
      <c r="H1427" s="16"/>
      <c r="I1427" s="16"/>
      <c r="J1427" s="16"/>
      <c r="K1427" s="16"/>
      <c r="L1427" s="16"/>
      <c r="M1427" s="16"/>
      <c r="N1427" s="16"/>
      <c r="O1427" s="16"/>
      <c r="P1427" s="16"/>
      <c r="Q1427" s="16"/>
      <c r="R1427" s="16"/>
      <c r="S1427" s="16"/>
      <c r="T1427" s="16"/>
      <c r="U1427" s="16"/>
      <c r="V1427" s="16"/>
      <c r="W1427" s="16"/>
      <c r="X1427" s="16"/>
      <c r="Y1427" s="16"/>
      <c r="Z1427" s="16"/>
      <c r="AA1427" s="16"/>
      <c r="AB1427" s="16"/>
    </row>
    <row r="1428" spans="3:28" ht="12.75">
      <c r="C1428" s="16"/>
      <c r="D1428" s="16"/>
      <c r="E1428" s="16"/>
      <c r="F1428" s="16"/>
      <c r="G1428" s="16"/>
      <c r="H1428" s="16"/>
      <c r="I1428" s="16"/>
      <c r="J1428" s="16"/>
      <c r="K1428" s="16"/>
      <c r="L1428" s="16"/>
      <c r="M1428" s="16"/>
      <c r="N1428" s="16"/>
      <c r="O1428" s="16"/>
      <c r="P1428" s="16"/>
      <c r="Q1428" s="16"/>
      <c r="R1428" s="16"/>
      <c r="S1428" s="16"/>
      <c r="T1428" s="16"/>
      <c r="U1428" s="16"/>
      <c r="V1428" s="16"/>
      <c r="W1428" s="16"/>
      <c r="X1428" s="16"/>
      <c r="Y1428" s="16"/>
      <c r="Z1428" s="16"/>
      <c r="AA1428" s="16"/>
      <c r="AB1428" s="16"/>
    </row>
    <row r="1429" spans="3:28" ht="12.75">
      <c r="C1429" s="16"/>
      <c r="D1429" s="16"/>
      <c r="E1429" s="16"/>
      <c r="F1429" s="16"/>
      <c r="G1429" s="16"/>
      <c r="H1429" s="16"/>
      <c r="I1429" s="16"/>
      <c r="J1429" s="16"/>
      <c r="K1429" s="16"/>
      <c r="L1429" s="16"/>
      <c r="M1429" s="16"/>
      <c r="N1429" s="16"/>
      <c r="O1429" s="16"/>
      <c r="P1429" s="16"/>
      <c r="Q1429" s="16"/>
      <c r="R1429" s="16"/>
      <c r="S1429" s="16"/>
      <c r="T1429" s="16"/>
      <c r="U1429" s="16"/>
      <c r="V1429" s="16"/>
      <c r="W1429" s="16"/>
      <c r="X1429" s="16"/>
      <c r="Y1429" s="16"/>
      <c r="Z1429" s="16"/>
      <c r="AA1429" s="16"/>
      <c r="AB1429" s="16"/>
    </row>
    <row r="1430" spans="3:28" ht="12.75">
      <c r="C1430" s="16"/>
      <c r="D1430" s="16"/>
      <c r="E1430" s="16"/>
      <c r="F1430" s="16"/>
      <c r="G1430" s="16"/>
      <c r="H1430" s="16"/>
      <c r="I1430" s="16"/>
      <c r="J1430" s="16"/>
      <c r="K1430" s="16"/>
      <c r="L1430" s="16"/>
      <c r="M1430" s="16"/>
      <c r="N1430" s="16"/>
      <c r="O1430" s="16"/>
      <c r="P1430" s="16"/>
      <c r="Q1430" s="16"/>
      <c r="R1430" s="16"/>
      <c r="S1430" s="16"/>
      <c r="T1430" s="16"/>
      <c r="U1430" s="16"/>
      <c r="V1430" s="16"/>
      <c r="W1430" s="16"/>
      <c r="X1430" s="16"/>
      <c r="Y1430" s="16"/>
      <c r="Z1430" s="16"/>
      <c r="AA1430" s="16"/>
      <c r="AB1430" s="16"/>
    </row>
    <row r="1431" spans="3:28" ht="12.75">
      <c r="C1431" s="16"/>
      <c r="D1431" s="16"/>
      <c r="E1431" s="16"/>
      <c r="F1431" s="16"/>
      <c r="G1431" s="16"/>
      <c r="H1431" s="16"/>
      <c r="I1431" s="16"/>
      <c r="J1431" s="16"/>
      <c r="K1431" s="16"/>
      <c r="L1431" s="16"/>
      <c r="M1431" s="16"/>
      <c r="N1431" s="16"/>
      <c r="O1431" s="16"/>
      <c r="P1431" s="16"/>
      <c r="Q1431" s="16"/>
      <c r="R1431" s="16"/>
      <c r="S1431" s="16"/>
      <c r="T1431" s="16"/>
      <c r="U1431" s="16"/>
      <c r="V1431" s="16"/>
      <c r="W1431" s="16"/>
      <c r="X1431" s="16"/>
      <c r="Y1431" s="16"/>
      <c r="Z1431" s="16"/>
      <c r="AA1431" s="16"/>
      <c r="AB1431" s="16"/>
    </row>
    <row r="1432" spans="3:28" ht="12.75">
      <c r="C1432" s="16"/>
      <c r="D1432" s="16"/>
      <c r="E1432" s="16"/>
      <c r="F1432" s="16"/>
      <c r="G1432" s="16"/>
      <c r="H1432" s="16"/>
      <c r="I1432" s="16"/>
      <c r="J1432" s="16"/>
      <c r="K1432" s="16"/>
      <c r="L1432" s="16"/>
      <c r="M1432" s="16"/>
      <c r="N1432" s="16"/>
      <c r="O1432" s="16"/>
      <c r="P1432" s="16"/>
      <c r="Q1432" s="16"/>
      <c r="R1432" s="16"/>
      <c r="S1432" s="16"/>
      <c r="T1432" s="16"/>
      <c r="U1432" s="16"/>
      <c r="V1432" s="16"/>
      <c r="W1432" s="16"/>
      <c r="X1432" s="16"/>
      <c r="Y1432" s="16"/>
      <c r="Z1432" s="16"/>
      <c r="AA1432" s="16"/>
      <c r="AB1432" s="16"/>
    </row>
    <row r="1433" spans="3:28" ht="12.75">
      <c r="C1433" s="16"/>
      <c r="D1433" s="16"/>
      <c r="E1433" s="16"/>
      <c r="F1433" s="16"/>
      <c r="G1433" s="16"/>
      <c r="H1433" s="16"/>
      <c r="I1433" s="16"/>
      <c r="J1433" s="16"/>
      <c r="K1433" s="16"/>
      <c r="L1433" s="16"/>
      <c r="M1433" s="16"/>
      <c r="N1433" s="16"/>
      <c r="O1433" s="16"/>
      <c r="P1433" s="16"/>
      <c r="Q1433" s="16"/>
      <c r="R1433" s="16"/>
      <c r="S1433" s="16"/>
      <c r="T1433" s="16"/>
      <c r="U1433" s="16"/>
      <c r="V1433" s="16"/>
      <c r="W1433" s="16"/>
      <c r="X1433" s="16"/>
      <c r="Y1433" s="16"/>
      <c r="Z1433" s="16"/>
      <c r="AA1433" s="16"/>
      <c r="AB1433" s="16"/>
    </row>
    <row r="1434" spans="3:28" ht="12.75">
      <c r="C1434" s="16"/>
      <c r="D1434" s="16"/>
      <c r="E1434" s="16"/>
      <c r="F1434" s="16"/>
      <c r="G1434" s="16"/>
      <c r="H1434" s="16"/>
      <c r="I1434" s="16"/>
      <c r="J1434" s="16"/>
      <c r="K1434" s="16"/>
      <c r="L1434" s="16"/>
      <c r="M1434" s="16"/>
      <c r="N1434" s="16"/>
      <c r="O1434" s="16"/>
      <c r="P1434" s="16"/>
      <c r="Q1434" s="16"/>
      <c r="R1434" s="16"/>
      <c r="S1434" s="16"/>
      <c r="T1434" s="16"/>
      <c r="U1434" s="16"/>
      <c r="V1434" s="16"/>
      <c r="W1434" s="16"/>
      <c r="X1434" s="16"/>
      <c r="Y1434" s="16"/>
      <c r="Z1434" s="16"/>
      <c r="AA1434" s="16"/>
      <c r="AB1434" s="16"/>
    </row>
    <row r="1435" spans="3:28" ht="12.75">
      <c r="C1435" s="16"/>
      <c r="D1435" s="16"/>
      <c r="E1435" s="16"/>
      <c r="F1435" s="16"/>
      <c r="G1435" s="16"/>
      <c r="H1435" s="16"/>
      <c r="I1435" s="16"/>
      <c r="J1435" s="16"/>
      <c r="K1435" s="16"/>
      <c r="L1435" s="16"/>
      <c r="M1435" s="16"/>
      <c r="N1435" s="16"/>
      <c r="O1435" s="16"/>
      <c r="P1435" s="16"/>
      <c r="Q1435" s="16"/>
      <c r="R1435" s="16"/>
      <c r="S1435" s="16"/>
      <c r="T1435" s="16"/>
      <c r="U1435" s="16"/>
      <c r="V1435" s="16"/>
      <c r="W1435" s="16"/>
      <c r="X1435" s="16"/>
      <c r="Y1435" s="16"/>
      <c r="Z1435" s="16"/>
      <c r="AA1435" s="16"/>
      <c r="AB1435" s="16"/>
    </row>
    <row r="1436" spans="3:28" ht="12.75">
      <c r="C1436" s="16"/>
      <c r="D1436" s="16"/>
      <c r="E1436" s="16"/>
      <c r="F1436" s="16"/>
      <c r="G1436" s="16"/>
      <c r="H1436" s="16"/>
      <c r="I1436" s="16"/>
      <c r="J1436" s="16"/>
      <c r="K1436" s="16"/>
      <c r="L1436" s="16"/>
      <c r="M1436" s="16"/>
      <c r="N1436" s="16"/>
      <c r="O1436" s="16"/>
      <c r="P1436" s="16"/>
      <c r="Q1436" s="16"/>
      <c r="R1436" s="16"/>
      <c r="S1436" s="16"/>
      <c r="T1436" s="16"/>
      <c r="U1436" s="16"/>
      <c r="V1436" s="16"/>
      <c r="W1436" s="16"/>
      <c r="X1436" s="16"/>
      <c r="Y1436" s="16"/>
      <c r="Z1436" s="16"/>
      <c r="AA1436" s="16"/>
      <c r="AB1436" s="16"/>
    </row>
    <row r="1437" spans="3:28" ht="12.75">
      <c r="C1437" s="16"/>
      <c r="D1437" s="16"/>
      <c r="E1437" s="16"/>
      <c r="F1437" s="16"/>
      <c r="G1437" s="16"/>
      <c r="H1437" s="16"/>
      <c r="I1437" s="16"/>
      <c r="J1437" s="16"/>
      <c r="K1437" s="16"/>
      <c r="L1437" s="16"/>
      <c r="M1437" s="16"/>
      <c r="N1437" s="16"/>
      <c r="O1437" s="16"/>
      <c r="P1437" s="16"/>
      <c r="Q1437" s="16"/>
      <c r="R1437" s="16"/>
      <c r="S1437" s="16"/>
      <c r="T1437" s="16"/>
      <c r="U1437" s="16"/>
      <c r="V1437" s="16"/>
      <c r="W1437" s="16"/>
      <c r="X1437" s="16"/>
      <c r="Y1437" s="16"/>
      <c r="Z1437" s="16"/>
      <c r="AA1437" s="16"/>
      <c r="AB1437" s="16"/>
    </row>
    <row r="1438" spans="3:28" ht="12.75">
      <c r="C1438" s="16"/>
      <c r="D1438" s="16"/>
      <c r="E1438" s="16"/>
      <c r="F1438" s="16"/>
      <c r="G1438" s="16"/>
      <c r="H1438" s="16"/>
      <c r="I1438" s="16"/>
      <c r="J1438" s="16"/>
      <c r="K1438" s="16"/>
      <c r="L1438" s="16"/>
      <c r="M1438" s="16"/>
      <c r="N1438" s="16"/>
      <c r="O1438" s="16"/>
      <c r="P1438" s="16"/>
      <c r="Q1438" s="16"/>
      <c r="R1438" s="16"/>
      <c r="S1438" s="16"/>
      <c r="T1438" s="16"/>
      <c r="U1438" s="16"/>
      <c r="V1438" s="16"/>
      <c r="W1438" s="16"/>
      <c r="X1438" s="16"/>
      <c r="Y1438" s="16"/>
      <c r="Z1438" s="16"/>
      <c r="AA1438" s="16"/>
      <c r="AB1438" s="16"/>
    </row>
    <row r="1439" spans="3:28" ht="12.75">
      <c r="C1439" s="16"/>
      <c r="D1439" s="16"/>
      <c r="E1439" s="16"/>
      <c r="F1439" s="16"/>
      <c r="G1439" s="16"/>
      <c r="H1439" s="16"/>
      <c r="I1439" s="16"/>
      <c r="J1439" s="16"/>
      <c r="K1439" s="16"/>
      <c r="L1439" s="16"/>
      <c r="M1439" s="16"/>
      <c r="N1439" s="16"/>
      <c r="O1439" s="16"/>
      <c r="P1439" s="16"/>
      <c r="Q1439" s="16"/>
      <c r="R1439" s="16"/>
      <c r="S1439" s="16"/>
      <c r="T1439" s="16"/>
      <c r="U1439" s="16"/>
      <c r="V1439" s="16"/>
      <c r="W1439" s="16"/>
      <c r="X1439" s="16"/>
      <c r="Y1439" s="16"/>
      <c r="Z1439" s="16"/>
      <c r="AA1439" s="16"/>
      <c r="AB1439" s="16"/>
    </row>
    <row r="1440" spans="3:28" ht="12.75">
      <c r="C1440" s="16"/>
      <c r="D1440" s="16"/>
      <c r="E1440" s="16"/>
      <c r="F1440" s="16"/>
      <c r="G1440" s="16"/>
      <c r="H1440" s="16"/>
      <c r="I1440" s="16"/>
      <c r="J1440" s="16"/>
      <c r="K1440" s="16"/>
      <c r="L1440" s="16"/>
      <c r="M1440" s="16"/>
      <c r="N1440" s="16"/>
      <c r="O1440" s="16"/>
      <c r="P1440" s="16"/>
      <c r="Q1440" s="16"/>
      <c r="R1440" s="16"/>
      <c r="S1440" s="16"/>
      <c r="T1440" s="16"/>
      <c r="U1440" s="16"/>
      <c r="V1440" s="16"/>
      <c r="W1440" s="16"/>
      <c r="X1440" s="16"/>
      <c r="Y1440" s="16"/>
      <c r="Z1440" s="16"/>
      <c r="AA1440" s="16"/>
      <c r="AB1440" s="16"/>
    </row>
    <row r="1441" spans="3:28" ht="12.75">
      <c r="C1441" s="16"/>
      <c r="D1441" s="16"/>
      <c r="E1441" s="16"/>
      <c r="F1441" s="16"/>
      <c r="G1441" s="16"/>
      <c r="H1441" s="16"/>
      <c r="I1441" s="16"/>
      <c r="J1441" s="16"/>
      <c r="K1441" s="16"/>
      <c r="L1441" s="16"/>
      <c r="M1441" s="16"/>
      <c r="N1441" s="16"/>
      <c r="O1441" s="16"/>
      <c r="P1441" s="16"/>
      <c r="Q1441" s="16"/>
      <c r="R1441" s="16"/>
      <c r="S1441" s="16"/>
      <c r="T1441" s="16"/>
      <c r="U1441" s="16"/>
      <c r="V1441" s="16"/>
      <c r="W1441" s="16"/>
      <c r="X1441" s="16"/>
      <c r="Y1441" s="16"/>
      <c r="Z1441" s="16"/>
      <c r="AA1441" s="16"/>
      <c r="AB1441" s="16"/>
    </row>
    <row r="1442" spans="3:28" ht="12.75">
      <c r="C1442" s="16"/>
      <c r="D1442" s="16"/>
      <c r="E1442" s="16"/>
      <c r="F1442" s="16"/>
      <c r="G1442" s="16"/>
      <c r="H1442" s="16"/>
      <c r="I1442" s="16"/>
      <c r="J1442" s="16"/>
      <c r="K1442" s="16"/>
      <c r="L1442" s="16"/>
      <c r="M1442" s="16"/>
      <c r="N1442" s="16"/>
      <c r="O1442" s="16"/>
      <c r="P1442" s="16"/>
      <c r="Q1442" s="16"/>
      <c r="R1442" s="16"/>
      <c r="S1442" s="16"/>
      <c r="T1442" s="16"/>
      <c r="U1442" s="16"/>
      <c r="V1442" s="16"/>
      <c r="W1442" s="16"/>
      <c r="X1442" s="16"/>
      <c r="Y1442" s="16"/>
      <c r="Z1442" s="16"/>
      <c r="AA1442" s="16"/>
      <c r="AB1442" s="16"/>
    </row>
    <row r="1443" spans="3:28" ht="12.75">
      <c r="C1443" s="16"/>
      <c r="D1443" s="16"/>
      <c r="E1443" s="16"/>
      <c r="F1443" s="16"/>
      <c r="G1443" s="16"/>
      <c r="H1443" s="16"/>
      <c r="I1443" s="16"/>
      <c r="J1443" s="16"/>
      <c r="K1443" s="16"/>
      <c r="L1443" s="16"/>
      <c r="M1443" s="16"/>
      <c r="N1443" s="16"/>
      <c r="O1443" s="16"/>
      <c r="P1443" s="16"/>
      <c r="Q1443" s="16"/>
      <c r="R1443" s="16"/>
      <c r="S1443" s="16"/>
      <c r="T1443" s="16"/>
      <c r="U1443" s="16"/>
      <c r="V1443" s="16"/>
      <c r="W1443" s="16"/>
      <c r="X1443" s="16"/>
      <c r="Y1443" s="16"/>
      <c r="Z1443" s="16"/>
      <c r="AA1443" s="16"/>
      <c r="AB1443" s="16"/>
    </row>
    <row r="1444" spans="3:28" ht="12.75">
      <c r="C1444" s="16"/>
      <c r="D1444" s="16"/>
      <c r="E1444" s="16"/>
      <c r="F1444" s="16"/>
      <c r="G1444" s="16"/>
      <c r="H1444" s="16"/>
      <c r="I1444" s="16"/>
      <c r="J1444" s="16"/>
      <c r="K1444" s="16"/>
      <c r="L1444" s="16"/>
      <c r="M1444" s="16"/>
      <c r="N1444" s="16"/>
      <c r="O1444" s="16"/>
      <c r="P1444" s="16"/>
      <c r="Q1444" s="16"/>
      <c r="R1444" s="16"/>
      <c r="S1444" s="16"/>
      <c r="T1444" s="16"/>
      <c r="U1444" s="16"/>
      <c r="V1444" s="16"/>
      <c r="W1444" s="16"/>
      <c r="X1444" s="16"/>
      <c r="Y1444" s="16"/>
      <c r="Z1444" s="16"/>
      <c r="AA1444" s="16"/>
      <c r="AB1444" s="16"/>
    </row>
    <row r="1445" spans="3:28" ht="12.75">
      <c r="C1445" s="16"/>
      <c r="D1445" s="16"/>
      <c r="E1445" s="16"/>
      <c r="F1445" s="16"/>
      <c r="G1445" s="16"/>
      <c r="H1445" s="16"/>
      <c r="I1445" s="16"/>
      <c r="J1445" s="16"/>
      <c r="K1445" s="16"/>
      <c r="L1445" s="16"/>
      <c r="M1445" s="16"/>
      <c r="N1445" s="16"/>
      <c r="O1445" s="16"/>
      <c r="P1445" s="16"/>
      <c r="Q1445" s="16"/>
      <c r="R1445" s="16"/>
      <c r="S1445" s="16"/>
      <c r="T1445" s="16"/>
      <c r="U1445" s="16"/>
      <c r="V1445" s="16"/>
      <c r="W1445" s="16"/>
      <c r="X1445" s="16"/>
      <c r="Y1445" s="16"/>
      <c r="Z1445" s="16"/>
      <c r="AA1445" s="16"/>
      <c r="AB1445" s="16"/>
    </row>
    <row r="1446" spans="3:28" ht="12.75">
      <c r="C1446" s="16"/>
      <c r="D1446" s="16"/>
      <c r="E1446" s="16"/>
      <c r="F1446" s="16"/>
      <c r="G1446" s="16"/>
      <c r="H1446" s="16"/>
      <c r="I1446" s="16"/>
      <c r="J1446" s="16"/>
      <c r="K1446" s="16"/>
      <c r="L1446" s="16"/>
      <c r="M1446" s="16"/>
      <c r="N1446" s="16"/>
      <c r="O1446" s="16"/>
      <c r="P1446" s="16"/>
      <c r="Q1446" s="16"/>
      <c r="R1446" s="16"/>
      <c r="S1446" s="16"/>
      <c r="T1446" s="16"/>
      <c r="U1446" s="16"/>
      <c r="V1446" s="16"/>
      <c r="W1446" s="16"/>
      <c r="X1446" s="16"/>
      <c r="Y1446" s="16"/>
      <c r="Z1446" s="16"/>
      <c r="AA1446" s="16"/>
      <c r="AB1446" s="16"/>
    </row>
    <row r="1447" spans="3:28" ht="12.75">
      <c r="C1447" s="16"/>
      <c r="D1447" s="16"/>
      <c r="E1447" s="16"/>
      <c r="F1447" s="16"/>
      <c r="G1447" s="16"/>
      <c r="H1447" s="16"/>
      <c r="I1447" s="16"/>
      <c r="J1447" s="16"/>
      <c r="K1447" s="16"/>
      <c r="L1447" s="16"/>
      <c r="M1447" s="16"/>
      <c r="N1447" s="16"/>
      <c r="O1447" s="16"/>
      <c r="P1447" s="16"/>
      <c r="Q1447" s="16"/>
      <c r="R1447" s="16"/>
      <c r="S1447" s="16"/>
      <c r="T1447" s="16"/>
      <c r="U1447" s="16"/>
      <c r="V1447" s="16"/>
      <c r="W1447" s="16"/>
      <c r="X1447" s="16"/>
      <c r="Y1447" s="16"/>
      <c r="Z1447" s="16"/>
      <c r="AA1447" s="16"/>
      <c r="AB1447" s="16"/>
    </row>
    <row r="1448" spans="3:28" ht="12.75">
      <c r="C1448" s="16"/>
      <c r="D1448" s="16"/>
      <c r="E1448" s="16"/>
      <c r="F1448" s="16"/>
      <c r="G1448" s="16"/>
      <c r="H1448" s="16"/>
      <c r="I1448" s="16"/>
      <c r="J1448" s="16"/>
      <c r="K1448" s="16"/>
      <c r="L1448" s="16"/>
      <c r="M1448" s="16"/>
      <c r="N1448" s="16"/>
      <c r="O1448" s="16"/>
      <c r="P1448" s="16"/>
      <c r="Q1448" s="16"/>
      <c r="R1448" s="16"/>
      <c r="S1448" s="16"/>
      <c r="T1448" s="16"/>
      <c r="U1448" s="16"/>
      <c r="V1448" s="16"/>
      <c r="W1448" s="16"/>
      <c r="X1448" s="16"/>
      <c r="Y1448" s="16"/>
      <c r="Z1448" s="16"/>
      <c r="AA1448" s="16"/>
      <c r="AB1448" s="16"/>
    </row>
    <row r="1449" spans="3:28" ht="12.75">
      <c r="C1449" s="16"/>
      <c r="D1449" s="16"/>
      <c r="E1449" s="16"/>
      <c r="F1449" s="16"/>
      <c r="G1449" s="16"/>
      <c r="H1449" s="16"/>
      <c r="I1449" s="16"/>
      <c r="J1449" s="16"/>
      <c r="K1449" s="16"/>
      <c r="L1449" s="16"/>
      <c r="M1449" s="16"/>
      <c r="N1449" s="16"/>
      <c r="O1449" s="16"/>
      <c r="P1449" s="16"/>
      <c r="Q1449" s="16"/>
      <c r="R1449" s="16"/>
      <c r="S1449" s="16"/>
      <c r="T1449" s="16"/>
      <c r="U1449" s="16"/>
      <c r="V1449" s="16"/>
      <c r="W1449" s="16"/>
      <c r="X1449" s="16"/>
      <c r="Y1449" s="16"/>
      <c r="Z1449" s="16"/>
      <c r="AA1449" s="16"/>
      <c r="AB1449" s="16"/>
    </row>
    <row r="1450" spans="3:28" ht="12.75">
      <c r="C1450" s="16"/>
      <c r="D1450" s="16"/>
      <c r="E1450" s="16"/>
      <c r="F1450" s="16"/>
      <c r="G1450" s="16"/>
      <c r="H1450" s="16"/>
      <c r="I1450" s="16"/>
      <c r="J1450" s="16"/>
      <c r="K1450" s="16"/>
      <c r="L1450" s="16"/>
      <c r="M1450" s="16"/>
      <c r="N1450" s="16"/>
      <c r="O1450" s="16"/>
      <c r="P1450" s="16"/>
      <c r="Q1450" s="16"/>
      <c r="R1450" s="16"/>
      <c r="S1450" s="16"/>
      <c r="T1450" s="16"/>
      <c r="U1450" s="16"/>
      <c r="V1450" s="16"/>
      <c r="W1450" s="16"/>
      <c r="X1450" s="16"/>
      <c r="Y1450" s="16"/>
      <c r="Z1450" s="16"/>
      <c r="AA1450" s="16"/>
      <c r="AB1450" s="16"/>
    </row>
    <row r="1451" spans="3:28" ht="12.75">
      <c r="C1451" s="16"/>
      <c r="D1451" s="16"/>
      <c r="E1451" s="16"/>
      <c r="F1451" s="16"/>
      <c r="G1451" s="16"/>
      <c r="H1451" s="16"/>
      <c r="I1451" s="16"/>
      <c r="J1451" s="16"/>
      <c r="K1451" s="16"/>
      <c r="L1451" s="16"/>
      <c r="M1451" s="16"/>
      <c r="N1451" s="16"/>
      <c r="O1451" s="16"/>
      <c r="P1451" s="16"/>
      <c r="Q1451" s="16"/>
      <c r="R1451" s="16"/>
      <c r="S1451" s="16"/>
      <c r="T1451" s="16"/>
      <c r="U1451" s="16"/>
      <c r="V1451" s="16"/>
      <c r="W1451" s="16"/>
      <c r="X1451" s="16"/>
      <c r="Y1451" s="16"/>
      <c r="Z1451" s="16"/>
      <c r="AA1451" s="16"/>
      <c r="AB1451" s="16"/>
    </row>
    <row r="1452" spans="3:28" ht="12.75">
      <c r="C1452" s="16"/>
      <c r="D1452" s="16"/>
      <c r="E1452" s="16"/>
      <c r="F1452" s="16"/>
      <c r="G1452" s="16"/>
      <c r="H1452" s="16"/>
      <c r="I1452" s="16"/>
      <c r="J1452" s="16"/>
      <c r="K1452" s="16"/>
      <c r="L1452" s="16"/>
      <c r="M1452" s="16"/>
      <c r="N1452" s="16"/>
      <c r="O1452" s="16"/>
      <c r="P1452" s="16"/>
      <c r="Q1452" s="16"/>
      <c r="R1452" s="16"/>
      <c r="S1452" s="16"/>
      <c r="T1452" s="16"/>
      <c r="U1452" s="16"/>
      <c r="V1452" s="16"/>
      <c r="W1452" s="16"/>
      <c r="X1452" s="16"/>
      <c r="Y1452" s="16"/>
      <c r="Z1452" s="16"/>
      <c r="AA1452" s="16"/>
      <c r="AB1452" s="16"/>
    </row>
    <row r="1453" spans="3:28" ht="12.75">
      <c r="C1453" s="16"/>
      <c r="D1453" s="16"/>
      <c r="E1453" s="16"/>
      <c r="F1453" s="16"/>
      <c r="G1453" s="16"/>
      <c r="H1453" s="16"/>
      <c r="I1453" s="16"/>
      <c r="J1453" s="16"/>
      <c r="K1453" s="16"/>
      <c r="L1453" s="16"/>
      <c r="M1453" s="16"/>
      <c r="N1453" s="16"/>
      <c r="O1453" s="16"/>
      <c r="P1453" s="16"/>
      <c r="Q1453" s="16"/>
      <c r="R1453" s="16"/>
      <c r="S1453" s="16"/>
      <c r="T1453" s="16"/>
      <c r="U1453" s="16"/>
      <c r="V1453" s="16"/>
      <c r="W1453" s="16"/>
      <c r="X1453" s="16"/>
      <c r="Y1453" s="16"/>
      <c r="Z1453" s="16"/>
      <c r="AA1453" s="16"/>
      <c r="AB1453" s="16"/>
    </row>
    <row r="1454" spans="3:28" ht="12.75">
      <c r="C1454" s="16"/>
      <c r="D1454" s="16"/>
      <c r="E1454" s="16"/>
      <c r="F1454" s="16"/>
      <c r="G1454" s="16"/>
      <c r="H1454" s="16"/>
      <c r="I1454" s="16"/>
      <c r="J1454" s="16"/>
      <c r="K1454" s="16"/>
      <c r="L1454" s="16"/>
      <c r="M1454" s="16"/>
      <c r="N1454" s="16"/>
      <c r="O1454" s="16"/>
      <c r="P1454" s="16"/>
      <c r="Q1454" s="16"/>
      <c r="R1454" s="16"/>
      <c r="S1454" s="16"/>
      <c r="T1454" s="16"/>
      <c r="U1454" s="16"/>
      <c r="V1454" s="16"/>
      <c r="W1454" s="16"/>
      <c r="X1454" s="16"/>
      <c r="Y1454" s="16"/>
      <c r="Z1454" s="16"/>
      <c r="AA1454" s="16"/>
      <c r="AB1454" s="16"/>
    </row>
    <row r="1455" spans="3:28" ht="12.75">
      <c r="C1455" s="16"/>
      <c r="D1455" s="16"/>
      <c r="E1455" s="16"/>
      <c r="F1455" s="16"/>
      <c r="G1455" s="16"/>
      <c r="H1455" s="16"/>
      <c r="I1455" s="16"/>
      <c r="J1455" s="16"/>
      <c r="K1455" s="16"/>
      <c r="L1455" s="16"/>
      <c r="M1455" s="16"/>
      <c r="N1455" s="16"/>
      <c r="O1455" s="16"/>
      <c r="P1455" s="16"/>
      <c r="Q1455" s="16"/>
      <c r="R1455" s="16"/>
      <c r="S1455" s="16"/>
      <c r="T1455" s="16"/>
      <c r="U1455" s="16"/>
      <c r="V1455" s="16"/>
      <c r="W1455" s="16"/>
      <c r="X1455" s="16"/>
      <c r="Y1455" s="16"/>
      <c r="Z1455" s="16"/>
      <c r="AA1455" s="16"/>
      <c r="AB1455" s="16"/>
    </row>
    <row r="1456" spans="3:28" ht="12.75">
      <c r="C1456" s="16"/>
      <c r="D1456" s="16"/>
      <c r="E1456" s="16"/>
      <c r="F1456" s="16"/>
      <c r="G1456" s="16"/>
      <c r="H1456" s="16"/>
      <c r="I1456" s="16"/>
      <c r="J1456" s="16"/>
      <c r="K1456" s="16"/>
      <c r="L1456" s="16"/>
      <c r="M1456" s="16"/>
      <c r="N1456" s="16"/>
      <c r="O1456" s="16"/>
      <c r="P1456" s="16"/>
      <c r="Q1456" s="16"/>
      <c r="R1456" s="16"/>
      <c r="S1456" s="16"/>
      <c r="T1456" s="16"/>
      <c r="U1456" s="16"/>
      <c r="V1456" s="16"/>
      <c r="W1456" s="16"/>
      <c r="X1456" s="16"/>
      <c r="Y1456" s="16"/>
      <c r="Z1456" s="16"/>
      <c r="AA1456" s="16"/>
      <c r="AB1456" s="16"/>
    </row>
    <row r="1457" spans="3:28" ht="12.75">
      <c r="C1457" s="16"/>
      <c r="D1457" s="16"/>
      <c r="E1457" s="16"/>
      <c r="F1457" s="16"/>
      <c r="G1457" s="16"/>
      <c r="H1457" s="16"/>
      <c r="I1457" s="16"/>
      <c r="J1457" s="16"/>
      <c r="K1457" s="16"/>
      <c r="L1457" s="16"/>
      <c r="M1457" s="16"/>
      <c r="N1457" s="16"/>
      <c r="O1457" s="16"/>
      <c r="P1457" s="16"/>
      <c r="Q1457" s="16"/>
      <c r="R1457" s="16"/>
      <c r="S1457" s="16"/>
      <c r="T1457" s="16"/>
      <c r="U1457" s="16"/>
      <c r="V1457" s="16"/>
      <c r="W1457" s="16"/>
      <c r="X1457" s="16"/>
      <c r="Y1457" s="16"/>
      <c r="Z1457" s="16"/>
      <c r="AA1457" s="16"/>
      <c r="AB1457" s="16"/>
    </row>
    <row r="1458" spans="3:28" ht="12.75">
      <c r="C1458" s="16"/>
      <c r="D1458" s="16"/>
      <c r="E1458" s="16"/>
      <c r="F1458" s="16"/>
      <c r="G1458" s="16"/>
      <c r="H1458" s="16"/>
      <c r="I1458" s="16"/>
      <c r="J1458" s="16"/>
      <c r="K1458" s="16"/>
      <c r="L1458" s="16"/>
      <c r="M1458" s="16"/>
      <c r="N1458" s="16"/>
      <c r="O1458" s="16"/>
      <c r="P1458" s="16"/>
      <c r="Q1458" s="16"/>
      <c r="R1458" s="16"/>
      <c r="S1458" s="16"/>
      <c r="T1458" s="16"/>
      <c r="U1458" s="16"/>
      <c r="V1458" s="16"/>
      <c r="W1458" s="16"/>
      <c r="X1458" s="16"/>
      <c r="Y1458" s="16"/>
      <c r="Z1458" s="16"/>
      <c r="AA1458" s="16"/>
      <c r="AB1458" s="16"/>
    </row>
    <row r="1459" spans="3:28" ht="12.75">
      <c r="C1459" s="16"/>
      <c r="D1459" s="16"/>
      <c r="E1459" s="16"/>
      <c r="F1459" s="16"/>
      <c r="G1459" s="16"/>
      <c r="H1459" s="16"/>
      <c r="I1459" s="16"/>
      <c r="J1459" s="16"/>
      <c r="K1459" s="16"/>
      <c r="L1459" s="16"/>
      <c r="M1459" s="16"/>
      <c r="N1459" s="16"/>
      <c r="O1459" s="16"/>
      <c r="P1459" s="16"/>
      <c r="Q1459" s="16"/>
      <c r="R1459" s="16"/>
      <c r="S1459" s="16"/>
      <c r="T1459" s="16"/>
      <c r="U1459" s="16"/>
      <c r="V1459" s="16"/>
      <c r="W1459" s="16"/>
      <c r="X1459" s="16"/>
      <c r="Y1459" s="16"/>
      <c r="Z1459" s="16"/>
      <c r="AA1459" s="16"/>
      <c r="AB1459" s="16"/>
    </row>
    <row r="1460" spans="3:28" ht="12.75">
      <c r="C1460" s="16"/>
      <c r="D1460" s="16"/>
      <c r="E1460" s="16"/>
      <c r="F1460" s="16"/>
      <c r="G1460" s="16"/>
      <c r="H1460" s="16"/>
      <c r="I1460" s="16"/>
      <c r="J1460" s="16"/>
      <c r="K1460" s="16"/>
      <c r="L1460" s="16"/>
      <c r="M1460" s="16"/>
      <c r="N1460" s="16"/>
      <c r="O1460" s="16"/>
      <c r="P1460" s="16"/>
      <c r="Q1460" s="16"/>
      <c r="R1460" s="16"/>
      <c r="S1460" s="16"/>
      <c r="T1460" s="16"/>
      <c r="U1460" s="16"/>
      <c r="V1460" s="16"/>
      <c r="W1460" s="16"/>
      <c r="X1460" s="16"/>
      <c r="Y1460" s="16"/>
      <c r="Z1460" s="16"/>
      <c r="AA1460" s="16"/>
      <c r="AB1460" s="16"/>
    </row>
    <row r="1461" spans="3:28" ht="12.75">
      <c r="C1461" s="16"/>
      <c r="D1461" s="16"/>
      <c r="E1461" s="16"/>
      <c r="F1461" s="16"/>
      <c r="G1461" s="16"/>
      <c r="H1461" s="16"/>
      <c r="I1461" s="16"/>
      <c r="J1461" s="16"/>
      <c r="K1461" s="16"/>
      <c r="L1461" s="16"/>
      <c r="M1461" s="16"/>
      <c r="N1461" s="16"/>
      <c r="O1461" s="16"/>
      <c r="P1461" s="16"/>
      <c r="Q1461" s="16"/>
      <c r="R1461" s="16"/>
      <c r="S1461" s="16"/>
      <c r="T1461" s="16"/>
      <c r="U1461" s="16"/>
      <c r="V1461" s="16"/>
      <c r="W1461" s="16"/>
      <c r="X1461" s="16"/>
      <c r="Y1461" s="16"/>
      <c r="Z1461" s="16"/>
      <c r="AA1461" s="16"/>
      <c r="AB1461" s="16"/>
    </row>
    <row r="1462" spans="3:28" ht="12.75">
      <c r="C1462" s="16"/>
      <c r="D1462" s="16"/>
      <c r="E1462" s="16"/>
      <c r="F1462" s="16"/>
      <c r="G1462" s="16"/>
      <c r="H1462" s="16"/>
      <c r="I1462" s="16"/>
      <c r="J1462" s="16"/>
      <c r="K1462" s="16"/>
      <c r="L1462" s="16"/>
      <c r="M1462" s="16"/>
      <c r="N1462" s="16"/>
      <c r="O1462" s="16"/>
      <c r="P1462" s="16"/>
      <c r="Q1462" s="16"/>
      <c r="R1462" s="16"/>
      <c r="S1462" s="16"/>
      <c r="T1462" s="16"/>
      <c r="U1462" s="16"/>
      <c r="V1462" s="16"/>
      <c r="W1462" s="16"/>
      <c r="X1462" s="16"/>
      <c r="Y1462" s="16"/>
      <c r="Z1462" s="16"/>
      <c r="AA1462" s="16"/>
      <c r="AB1462" s="16"/>
    </row>
    <row r="1463" spans="3:28" ht="12.75">
      <c r="C1463" s="16"/>
      <c r="D1463" s="16"/>
      <c r="E1463" s="16"/>
      <c r="F1463" s="16"/>
      <c r="G1463" s="16"/>
      <c r="H1463" s="16"/>
      <c r="I1463" s="16"/>
      <c r="J1463" s="16"/>
      <c r="K1463" s="16"/>
      <c r="L1463" s="16"/>
      <c r="M1463" s="16"/>
      <c r="N1463" s="16"/>
      <c r="O1463" s="16"/>
      <c r="P1463" s="16"/>
      <c r="Q1463" s="16"/>
      <c r="R1463" s="16"/>
      <c r="S1463" s="16"/>
      <c r="T1463" s="16"/>
      <c r="U1463" s="16"/>
      <c r="V1463" s="16"/>
      <c r="W1463" s="16"/>
      <c r="X1463" s="16"/>
      <c r="Y1463" s="16"/>
      <c r="Z1463" s="16"/>
      <c r="AA1463" s="16"/>
      <c r="AB1463" s="16"/>
    </row>
    <row r="1464" spans="3:28" ht="12.75">
      <c r="C1464" s="16"/>
      <c r="D1464" s="16"/>
      <c r="E1464" s="16"/>
      <c r="F1464" s="16"/>
      <c r="G1464" s="16"/>
      <c r="H1464" s="16"/>
      <c r="I1464" s="16"/>
      <c r="J1464" s="16"/>
      <c r="K1464" s="16"/>
      <c r="L1464" s="16"/>
      <c r="M1464" s="16"/>
      <c r="N1464" s="16"/>
      <c r="O1464" s="16"/>
      <c r="P1464" s="16"/>
      <c r="Q1464" s="16"/>
      <c r="R1464" s="16"/>
      <c r="S1464" s="16"/>
      <c r="T1464" s="16"/>
      <c r="U1464" s="16"/>
      <c r="V1464" s="16"/>
      <c r="W1464" s="16"/>
      <c r="X1464" s="16"/>
      <c r="Y1464" s="16"/>
      <c r="Z1464" s="16"/>
      <c r="AA1464" s="16"/>
      <c r="AB1464" s="16"/>
    </row>
    <row r="1465" spans="3:28" ht="12.75">
      <c r="C1465" s="16"/>
      <c r="D1465" s="16"/>
      <c r="E1465" s="16"/>
      <c r="F1465" s="16"/>
      <c r="G1465" s="16"/>
      <c r="H1465" s="16"/>
      <c r="I1465" s="16"/>
      <c r="J1465" s="16"/>
      <c r="K1465" s="16"/>
      <c r="L1465" s="16"/>
      <c r="M1465" s="16"/>
      <c r="N1465" s="16"/>
      <c r="O1465" s="16"/>
      <c r="P1465" s="16"/>
      <c r="Q1465" s="16"/>
      <c r="R1465" s="16"/>
      <c r="S1465" s="16"/>
      <c r="T1465" s="16"/>
      <c r="U1465" s="16"/>
      <c r="V1465" s="16"/>
      <c r="W1465" s="16"/>
      <c r="X1465" s="16"/>
      <c r="Y1465" s="16"/>
      <c r="Z1465" s="16"/>
      <c r="AA1465" s="16"/>
      <c r="AB1465" s="16"/>
    </row>
    <row r="1466" spans="3:28" ht="12.75">
      <c r="C1466" s="16"/>
      <c r="D1466" s="16"/>
      <c r="E1466" s="16"/>
      <c r="F1466" s="16"/>
      <c r="G1466" s="16"/>
      <c r="H1466" s="16"/>
      <c r="I1466" s="16"/>
      <c r="J1466" s="16"/>
      <c r="K1466" s="16"/>
      <c r="L1466" s="16"/>
      <c r="M1466" s="16"/>
      <c r="N1466" s="16"/>
      <c r="O1466" s="16"/>
      <c r="P1466" s="16"/>
      <c r="Q1466" s="16"/>
      <c r="R1466" s="16"/>
      <c r="S1466" s="16"/>
      <c r="T1466" s="16"/>
      <c r="U1466" s="16"/>
      <c r="V1466" s="16"/>
      <c r="W1466" s="16"/>
      <c r="X1466" s="16"/>
      <c r="Y1466" s="16"/>
      <c r="Z1466" s="16"/>
      <c r="AA1466" s="16"/>
      <c r="AB1466" s="16"/>
    </row>
    <row r="1467" spans="3:28" ht="12.75">
      <c r="C1467" s="16"/>
      <c r="D1467" s="16"/>
      <c r="E1467" s="16"/>
      <c r="F1467" s="16"/>
      <c r="G1467" s="16"/>
      <c r="H1467" s="16"/>
      <c r="I1467" s="16"/>
      <c r="J1467" s="16"/>
      <c r="K1467" s="16"/>
      <c r="L1467" s="16"/>
      <c r="M1467" s="16"/>
      <c r="N1467" s="16"/>
      <c r="O1467" s="16"/>
      <c r="P1467" s="16"/>
      <c r="Q1467" s="16"/>
      <c r="R1467" s="16"/>
      <c r="S1467" s="16"/>
      <c r="T1467" s="16"/>
      <c r="U1467" s="16"/>
      <c r="V1467" s="16"/>
      <c r="W1467" s="16"/>
      <c r="X1467" s="16"/>
      <c r="Y1467" s="16"/>
      <c r="Z1467" s="16"/>
      <c r="AA1467" s="16"/>
      <c r="AB1467" s="16"/>
    </row>
    <row r="1468" spans="3:28" ht="12.75">
      <c r="C1468" s="16"/>
      <c r="D1468" s="16"/>
      <c r="E1468" s="16"/>
      <c r="F1468" s="16"/>
      <c r="G1468" s="16"/>
      <c r="H1468" s="16"/>
      <c r="I1468" s="16"/>
      <c r="J1468" s="16"/>
      <c r="K1468" s="16"/>
      <c r="L1468" s="16"/>
      <c r="M1468" s="16"/>
      <c r="N1468" s="16"/>
      <c r="O1468" s="16"/>
      <c r="P1468" s="16"/>
      <c r="Q1468" s="16"/>
      <c r="R1468" s="16"/>
      <c r="S1468" s="16"/>
      <c r="T1468" s="16"/>
      <c r="U1468" s="16"/>
      <c r="V1468" s="16"/>
      <c r="W1468" s="16"/>
      <c r="X1468" s="16"/>
      <c r="Y1468" s="16"/>
      <c r="Z1468" s="16"/>
      <c r="AA1468" s="16"/>
      <c r="AB1468" s="16"/>
    </row>
    <row r="1469" spans="3:28" ht="12.75">
      <c r="C1469" s="16"/>
      <c r="D1469" s="16"/>
      <c r="E1469" s="16"/>
      <c r="F1469" s="16"/>
      <c r="G1469" s="16"/>
      <c r="H1469" s="16"/>
      <c r="I1469" s="16"/>
      <c r="J1469" s="16"/>
      <c r="K1469" s="16"/>
      <c r="L1469" s="16"/>
      <c r="M1469" s="16"/>
      <c r="N1469" s="16"/>
      <c r="O1469" s="16"/>
      <c r="P1469" s="16"/>
      <c r="Q1469" s="16"/>
      <c r="R1469" s="16"/>
      <c r="S1469" s="16"/>
      <c r="T1469" s="16"/>
      <c r="U1469" s="16"/>
      <c r="V1469" s="16"/>
      <c r="W1469" s="16"/>
      <c r="X1469" s="16"/>
      <c r="Y1469" s="16"/>
      <c r="Z1469" s="16"/>
      <c r="AA1469" s="16"/>
      <c r="AB1469" s="16"/>
    </row>
    <row r="1470" spans="3:28" ht="12.75">
      <c r="C1470" s="16"/>
      <c r="D1470" s="16"/>
      <c r="E1470" s="16"/>
      <c r="F1470" s="16"/>
      <c r="G1470" s="16"/>
      <c r="H1470" s="16"/>
      <c r="I1470" s="16"/>
      <c r="J1470" s="16"/>
      <c r="K1470" s="16"/>
      <c r="L1470" s="16"/>
      <c r="M1470" s="16"/>
      <c r="N1470" s="16"/>
      <c r="O1470" s="16"/>
      <c r="P1470" s="16"/>
      <c r="Q1470" s="16"/>
      <c r="R1470" s="16"/>
      <c r="S1470" s="16"/>
      <c r="T1470" s="16"/>
      <c r="U1470" s="16"/>
      <c r="V1470" s="16"/>
      <c r="W1470" s="16"/>
      <c r="X1470" s="16"/>
      <c r="Y1470" s="16"/>
      <c r="Z1470" s="16"/>
      <c r="AA1470" s="16"/>
      <c r="AB1470" s="16"/>
    </row>
    <row r="1471" spans="3:28" ht="12.75">
      <c r="C1471" s="16"/>
      <c r="D1471" s="16"/>
      <c r="E1471" s="16"/>
      <c r="F1471" s="16"/>
      <c r="G1471" s="16"/>
      <c r="H1471" s="16"/>
      <c r="I1471" s="16"/>
      <c r="J1471" s="16"/>
      <c r="K1471" s="16"/>
      <c r="L1471" s="16"/>
      <c r="M1471" s="16"/>
      <c r="N1471" s="16"/>
      <c r="O1471" s="16"/>
      <c r="P1471" s="16"/>
      <c r="Q1471" s="16"/>
      <c r="R1471" s="16"/>
      <c r="S1471" s="16"/>
      <c r="T1471" s="16"/>
      <c r="U1471" s="16"/>
      <c r="V1471" s="16"/>
      <c r="W1471" s="16"/>
      <c r="X1471" s="16"/>
      <c r="Y1471" s="16"/>
      <c r="Z1471" s="16"/>
      <c r="AA1471" s="16"/>
      <c r="AB1471" s="16"/>
    </row>
    <row r="1472" spans="3:28" ht="12.75">
      <c r="C1472" s="16"/>
      <c r="D1472" s="16"/>
      <c r="E1472" s="16"/>
      <c r="F1472" s="16"/>
      <c r="G1472" s="16"/>
      <c r="H1472" s="16"/>
      <c r="I1472" s="16"/>
      <c r="J1472" s="16"/>
      <c r="K1472" s="16"/>
      <c r="L1472" s="16"/>
      <c r="M1472" s="16"/>
      <c r="N1472" s="16"/>
      <c r="O1472" s="16"/>
      <c r="P1472" s="16"/>
      <c r="Q1472" s="16"/>
      <c r="R1472" s="16"/>
      <c r="S1472" s="16"/>
      <c r="T1472" s="16"/>
      <c r="U1472" s="16"/>
      <c r="V1472" s="16"/>
      <c r="W1472" s="16"/>
      <c r="X1472" s="16"/>
      <c r="Y1472" s="16"/>
      <c r="Z1472" s="16"/>
      <c r="AA1472" s="16"/>
      <c r="AB1472" s="16"/>
    </row>
    <row r="1473" spans="3:28" ht="12.75">
      <c r="C1473" s="16"/>
      <c r="D1473" s="16"/>
      <c r="E1473" s="16"/>
      <c r="F1473" s="16"/>
      <c r="G1473" s="16"/>
      <c r="H1473" s="16"/>
      <c r="I1473" s="16"/>
      <c r="J1473" s="16"/>
      <c r="K1473" s="16"/>
      <c r="L1473" s="16"/>
      <c r="M1473" s="16"/>
      <c r="N1473" s="16"/>
      <c r="O1473" s="16"/>
      <c r="P1473" s="16"/>
      <c r="Q1473" s="16"/>
      <c r="R1473" s="16"/>
      <c r="S1473" s="16"/>
      <c r="T1473" s="16"/>
      <c r="U1473" s="16"/>
      <c r="V1473" s="16"/>
      <c r="W1473" s="16"/>
      <c r="X1473" s="16"/>
      <c r="Y1473" s="16"/>
      <c r="Z1473" s="16"/>
      <c r="AA1473" s="16"/>
      <c r="AB1473" s="16"/>
    </row>
    <row r="1474" spans="3:28" ht="12.75">
      <c r="C1474" s="16"/>
      <c r="D1474" s="16"/>
      <c r="E1474" s="16"/>
      <c r="F1474" s="16"/>
      <c r="G1474" s="16"/>
      <c r="H1474" s="16"/>
      <c r="I1474" s="16"/>
      <c r="J1474" s="16"/>
      <c r="K1474" s="16"/>
      <c r="L1474" s="16"/>
      <c r="M1474" s="16"/>
      <c r="N1474" s="16"/>
      <c r="O1474" s="16"/>
      <c r="P1474" s="16"/>
      <c r="Q1474" s="16"/>
      <c r="R1474" s="16"/>
      <c r="S1474" s="16"/>
      <c r="T1474" s="16"/>
      <c r="U1474" s="16"/>
      <c r="V1474" s="16"/>
      <c r="W1474" s="16"/>
      <c r="X1474" s="16"/>
      <c r="Y1474" s="16"/>
      <c r="Z1474" s="16"/>
      <c r="AA1474" s="16"/>
      <c r="AB1474" s="16"/>
    </row>
    <row r="1475" spans="3:28" ht="12.75">
      <c r="C1475" s="16"/>
      <c r="D1475" s="16"/>
      <c r="E1475" s="16"/>
      <c r="F1475" s="16"/>
      <c r="G1475" s="16"/>
      <c r="H1475" s="16"/>
      <c r="I1475" s="16"/>
      <c r="J1475" s="16"/>
      <c r="K1475" s="16"/>
      <c r="L1475" s="16"/>
      <c r="M1475" s="16"/>
      <c r="N1475" s="16"/>
      <c r="O1475" s="16"/>
      <c r="P1475" s="16"/>
      <c r="Q1475" s="16"/>
      <c r="R1475" s="16"/>
      <c r="S1475" s="16"/>
      <c r="T1475" s="16"/>
      <c r="U1475" s="16"/>
      <c r="V1475" s="16"/>
      <c r="W1475" s="16"/>
      <c r="X1475" s="16"/>
      <c r="Y1475" s="16"/>
      <c r="Z1475" s="16"/>
      <c r="AA1475" s="16"/>
      <c r="AB1475" s="16"/>
    </row>
    <row r="1476" spans="3:28" ht="12.75">
      <c r="C1476" s="16"/>
      <c r="D1476" s="16"/>
      <c r="E1476" s="16"/>
      <c r="F1476" s="16"/>
      <c r="G1476" s="16"/>
      <c r="H1476" s="16"/>
      <c r="I1476" s="16"/>
      <c r="J1476" s="16"/>
      <c r="K1476" s="16"/>
      <c r="L1476" s="16"/>
      <c r="M1476" s="16"/>
      <c r="N1476" s="16"/>
      <c r="O1476" s="16"/>
      <c r="P1476" s="16"/>
      <c r="Q1476" s="16"/>
      <c r="R1476" s="16"/>
      <c r="S1476" s="16"/>
      <c r="T1476" s="16"/>
      <c r="U1476" s="16"/>
      <c r="V1476" s="16"/>
      <c r="W1476" s="16"/>
      <c r="X1476" s="16"/>
      <c r="Y1476" s="16"/>
      <c r="Z1476" s="16"/>
      <c r="AA1476" s="16"/>
      <c r="AB1476" s="16"/>
    </row>
    <row r="1477" spans="3:28" ht="12.75">
      <c r="C1477" s="16"/>
      <c r="D1477" s="16"/>
      <c r="E1477" s="16"/>
      <c r="F1477" s="16"/>
      <c r="G1477" s="16"/>
      <c r="H1477" s="16"/>
      <c r="I1477" s="16"/>
      <c r="J1477" s="16"/>
      <c r="K1477" s="16"/>
      <c r="L1477" s="16"/>
      <c r="M1477" s="16"/>
      <c r="N1477" s="16"/>
      <c r="O1477" s="16"/>
      <c r="P1477" s="16"/>
      <c r="Q1477" s="16"/>
      <c r="R1477" s="16"/>
      <c r="S1477" s="16"/>
      <c r="T1477" s="16"/>
      <c r="U1477" s="16"/>
      <c r="V1477" s="16"/>
      <c r="W1477" s="16"/>
      <c r="X1477" s="16"/>
      <c r="Y1477" s="16"/>
      <c r="Z1477" s="16"/>
      <c r="AA1477" s="16"/>
      <c r="AB1477" s="16"/>
    </row>
    <row r="1478" spans="3:28" ht="12.75">
      <c r="C1478" s="16"/>
      <c r="D1478" s="16"/>
      <c r="E1478" s="16"/>
      <c r="F1478" s="16"/>
      <c r="G1478" s="16"/>
      <c r="H1478" s="16"/>
      <c r="I1478" s="16"/>
      <c r="J1478" s="16"/>
      <c r="K1478" s="16"/>
      <c r="L1478" s="16"/>
      <c r="M1478" s="16"/>
      <c r="N1478" s="16"/>
      <c r="O1478" s="16"/>
      <c r="P1478" s="16"/>
      <c r="Q1478" s="16"/>
      <c r="R1478" s="16"/>
      <c r="S1478" s="16"/>
      <c r="T1478" s="16"/>
      <c r="U1478" s="16"/>
      <c r="V1478" s="16"/>
      <c r="W1478" s="16"/>
      <c r="X1478" s="16"/>
      <c r="Y1478" s="16"/>
      <c r="Z1478" s="16"/>
      <c r="AA1478" s="16"/>
      <c r="AB1478" s="16"/>
    </row>
    <row r="1479" spans="3:28" ht="12.75">
      <c r="C1479" s="16"/>
      <c r="D1479" s="16"/>
      <c r="E1479" s="16"/>
      <c r="F1479" s="16"/>
      <c r="G1479" s="16"/>
      <c r="H1479" s="16"/>
      <c r="I1479" s="16"/>
      <c r="J1479" s="16"/>
      <c r="K1479" s="16"/>
      <c r="L1479" s="16"/>
      <c r="M1479" s="16"/>
      <c r="N1479" s="16"/>
      <c r="O1479" s="16"/>
      <c r="P1479" s="16"/>
      <c r="Q1479" s="16"/>
      <c r="R1479" s="16"/>
      <c r="S1479" s="16"/>
      <c r="T1479" s="16"/>
      <c r="U1479" s="16"/>
      <c r="V1479" s="16"/>
      <c r="W1479" s="16"/>
      <c r="X1479" s="16"/>
      <c r="Y1479" s="16"/>
      <c r="Z1479" s="16"/>
      <c r="AA1479" s="16"/>
      <c r="AB1479" s="16"/>
    </row>
    <row r="1480" spans="3:28" ht="12.75">
      <c r="C1480" s="16"/>
      <c r="D1480" s="16"/>
      <c r="E1480" s="16"/>
      <c r="F1480" s="16"/>
      <c r="G1480" s="16"/>
      <c r="H1480" s="16"/>
      <c r="I1480" s="16"/>
      <c r="J1480" s="16"/>
      <c r="K1480" s="16"/>
      <c r="L1480" s="16"/>
      <c r="M1480" s="16"/>
      <c r="N1480" s="16"/>
      <c r="O1480" s="16"/>
      <c r="P1480" s="16"/>
      <c r="Q1480" s="16"/>
      <c r="R1480" s="16"/>
      <c r="S1480" s="16"/>
      <c r="T1480" s="16"/>
      <c r="U1480" s="16"/>
      <c r="V1480" s="16"/>
      <c r="W1480" s="16"/>
      <c r="X1480" s="16"/>
      <c r="Y1480" s="16"/>
      <c r="Z1480" s="16"/>
      <c r="AA1480" s="16"/>
      <c r="AB1480" s="16"/>
    </row>
    <row r="1481" spans="3:28" ht="12.75">
      <c r="C1481" s="16"/>
      <c r="D1481" s="16"/>
      <c r="E1481" s="16"/>
      <c r="F1481" s="16"/>
      <c r="G1481" s="16"/>
      <c r="H1481" s="16"/>
      <c r="I1481" s="16"/>
      <c r="J1481" s="16"/>
      <c r="K1481" s="16"/>
      <c r="L1481" s="16"/>
      <c r="M1481" s="16"/>
      <c r="N1481" s="16"/>
      <c r="O1481" s="16"/>
      <c r="P1481" s="16"/>
      <c r="Q1481" s="16"/>
      <c r="R1481" s="16"/>
      <c r="S1481" s="16"/>
      <c r="T1481" s="16"/>
      <c r="U1481" s="16"/>
      <c r="V1481" s="16"/>
      <c r="W1481" s="16"/>
      <c r="X1481" s="16"/>
      <c r="Y1481" s="16"/>
      <c r="Z1481" s="16"/>
      <c r="AA1481" s="16"/>
      <c r="AB1481" s="16"/>
    </row>
    <row r="1482" spans="3:28" ht="12.75">
      <c r="C1482" s="16"/>
      <c r="D1482" s="16"/>
      <c r="E1482" s="16"/>
      <c r="F1482" s="16"/>
      <c r="G1482" s="16"/>
      <c r="H1482" s="16"/>
      <c r="I1482" s="16"/>
      <c r="J1482" s="16"/>
      <c r="K1482" s="16"/>
      <c r="L1482" s="16"/>
      <c r="M1482" s="16"/>
      <c r="N1482" s="16"/>
      <c r="O1482" s="16"/>
      <c r="P1482" s="16"/>
      <c r="Q1482" s="16"/>
      <c r="R1482" s="16"/>
      <c r="S1482" s="16"/>
      <c r="T1482" s="16"/>
      <c r="U1482" s="16"/>
      <c r="V1482" s="16"/>
      <c r="W1482" s="16"/>
      <c r="X1482" s="16"/>
      <c r="Y1482" s="16"/>
      <c r="Z1482" s="16"/>
      <c r="AA1482" s="16"/>
      <c r="AB1482" s="16"/>
    </row>
    <row r="1483" spans="3:28" ht="12.75">
      <c r="C1483" s="16"/>
      <c r="D1483" s="16"/>
      <c r="E1483" s="16"/>
      <c r="F1483" s="16"/>
      <c r="G1483" s="16"/>
      <c r="H1483" s="16"/>
      <c r="I1483" s="16"/>
      <c r="J1483" s="16"/>
      <c r="K1483" s="16"/>
      <c r="L1483" s="16"/>
      <c r="M1483" s="16"/>
      <c r="N1483" s="16"/>
      <c r="O1483" s="16"/>
      <c r="P1483" s="16"/>
      <c r="Q1483" s="16"/>
      <c r="R1483" s="16"/>
      <c r="S1483" s="16"/>
      <c r="T1483" s="16"/>
      <c r="U1483" s="16"/>
      <c r="V1483" s="16"/>
      <c r="W1483" s="16"/>
      <c r="X1483" s="16"/>
      <c r="Y1483" s="16"/>
      <c r="Z1483" s="16"/>
      <c r="AA1483" s="16"/>
      <c r="AB1483" s="16"/>
    </row>
    <row r="1484" spans="3:28" ht="12.75">
      <c r="C1484" s="16"/>
      <c r="D1484" s="16"/>
      <c r="E1484" s="16"/>
      <c r="F1484" s="16"/>
      <c r="G1484" s="16"/>
      <c r="H1484" s="16"/>
      <c r="I1484" s="16"/>
      <c r="J1484" s="16"/>
      <c r="K1484" s="16"/>
      <c r="L1484" s="16"/>
      <c r="M1484" s="16"/>
      <c r="N1484" s="16"/>
      <c r="O1484" s="16"/>
      <c r="P1484" s="16"/>
      <c r="Q1484" s="16"/>
      <c r="R1484" s="16"/>
      <c r="S1484" s="16"/>
      <c r="T1484" s="16"/>
      <c r="U1484" s="16"/>
      <c r="V1484" s="16"/>
      <c r="W1484" s="16"/>
      <c r="X1484" s="16"/>
      <c r="Y1484" s="16"/>
      <c r="Z1484" s="16"/>
      <c r="AA1484" s="16"/>
      <c r="AB1484" s="16"/>
    </row>
    <row r="1485" spans="3:28" ht="12.75">
      <c r="C1485" s="16"/>
      <c r="D1485" s="16"/>
      <c r="E1485" s="16"/>
      <c r="F1485" s="16"/>
      <c r="G1485" s="16"/>
      <c r="H1485" s="16"/>
      <c r="I1485" s="16"/>
      <c r="J1485" s="16"/>
      <c r="K1485" s="16"/>
      <c r="L1485" s="16"/>
      <c r="M1485" s="16"/>
      <c r="N1485" s="16"/>
      <c r="O1485" s="16"/>
      <c r="P1485" s="16"/>
      <c r="Q1485" s="16"/>
      <c r="R1485" s="16"/>
      <c r="S1485" s="16"/>
      <c r="T1485" s="16"/>
      <c r="U1485" s="16"/>
      <c r="V1485" s="16"/>
      <c r="W1485" s="16"/>
      <c r="X1485" s="16"/>
      <c r="Y1485" s="16"/>
      <c r="Z1485" s="16"/>
      <c r="AA1485" s="16"/>
      <c r="AB1485" s="16"/>
    </row>
    <row r="1486" spans="3:28" ht="12.75">
      <c r="C1486" s="16"/>
      <c r="D1486" s="16"/>
      <c r="E1486" s="16"/>
      <c r="F1486" s="16"/>
      <c r="G1486" s="16"/>
      <c r="H1486" s="16"/>
      <c r="I1486" s="16"/>
      <c r="J1486" s="16"/>
      <c r="K1486" s="16"/>
      <c r="L1486" s="16"/>
      <c r="M1486" s="16"/>
      <c r="N1486" s="16"/>
      <c r="O1486" s="16"/>
      <c r="P1486" s="16"/>
      <c r="Q1486" s="16"/>
      <c r="R1486" s="16"/>
      <c r="S1486" s="16"/>
      <c r="T1486" s="16"/>
      <c r="U1486" s="16"/>
      <c r="V1486" s="16"/>
      <c r="W1486" s="16"/>
      <c r="X1486" s="16"/>
      <c r="Y1486" s="16"/>
      <c r="Z1486" s="16"/>
      <c r="AA1486" s="16"/>
      <c r="AB1486" s="16"/>
    </row>
    <row r="1487" spans="3:28" ht="12.75">
      <c r="C1487" s="16"/>
      <c r="D1487" s="16"/>
      <c r="E1487" s="16"/>
      <c r="F1487" s="16"/>
      <c r="G1487" s="16"/>
      <c r="H1487" s="16"/>
      <c r="I1487" s="16"/>
      <c r="J1487" s="16"/>
      <c r="K1487" s="16"/>
      <c r="L1487" s="16"/>
      <c r="M1487" s="16"/>
      <c r="N1487" s="16"/>
      <c r="O1487" s="16"/>
      <c r="P1487" s="16"/>
      <c r="Q1487" s="16"/>
      <c r="R1487" s="16"/>
      <c r="S1487" s="16"/>
      <c r="T1487" s="16"/>
      <c r="U1487" s="16"/>
      <c r="V1487" s="16"/>
      <c r="W1487" s="16"/>
      <c r="X1487" s="16"/>
      <c r="Y1487" s="16"/>
      <c r="Z1487" s="16"/>
      <c r="AA1487" s="16"/>
      <c r="AB1487" s="16"/>
    </row>
    <row r="1488" spans="3:28" ht="12.75">
      <c r="C1488" s="16"/>
      <c r="D1488" s="16"/>
      <c r="E1488" s="16"/>
      <c r="F1488" s="16"/>
      <c r="G1488" s="16"/>
      <c r="H1488" s="16"/>
      <c r="I1488" s="16"/>
      <c r="J1488" s="16"/>
      <c r="K1488" s="16"/>
      <c r="L1488" s="16"/>
      <c r="M1488" s="16"/>
      <c r="N1488" s="16"/>
      <c r="O1488" s="16"/>
      <c r="P1488" s="16"/>
      <c r="Q1488" s="16"/>
      <c r="R1488" s="16"/>
      <c r="S1488" s="16"/>
      <c r="T1488" s="16"/>
      <c r="U1488" s="16"/>
      <c r="V1488" s="16"/>
      <c r="W1488" s="16"/>
      <c r="X1488" s="16"/>
      <c r="Y1488" s="16"/>
      <c r="Z1488" s="16"/>
      <c r="AA1488" s="16"/>
      <c r="AB1488" s="16"/>
    </row>
    <row r="1489" spans="3:28" ht="12.75">
      <c r="C1489" s="16"/>
      <c r="D1489" s="16"/>
      <c r="E1489" s="16"/>
      <c r="F1489" s="16"/>
      <c r="G1489" s="16"/>
      <c r="H1489" s="16"/>
      <c r="I1489" s="16"/>
      <c r="J1489" s="16"/>
      <c r="K1489" s="16"/>
      <c r="L1489" s="16"/>
      <c r="M1489" s="16"/>
      <c r="N1489" s="16"/>
      <c r="O1489" s="16"/>
      <c r="P1489" s="16"/>
      <c r="Q1489" s="16"/>
      <c r="R1489" s="16"/>
      <c r="S1489" s="16"/>
      <c r="T1489" s="16"/>
      <c r="U1489" s="16"/>
      <c r="V1489" s="16"/>
      <c r="W1489" s="16"/>
      <c r="X1489" s="16"/>
      <c r="Y1489" s="16"/>
      <c r="Z1489" s="16"/>
      <c r="AA1489" s="16"/>
      <c r="AB1489" s="16"/>
    </row>
    <row r="1490" spans="3:28" ht="12.75">
      <c r="C1490" s="16"/>
      <c r="D1490" s="16"/>
      <c r="E1490" s="16"/>
      <c r="F1490" s="16"/>
      <c r="G1490" s="16"/>
      <c r="H1490" s="16"/>
      <c r="I1490" s="16"/>
      <c r="J1490" s="16"/>
      <c r="K1490" s="16"/>
      <c r="L1490" s="16"/>
      <c r="M1490" s="16"/>
      <c r="N1490" s="16"/>
      <c r="O1490" s="16"/>
      <c r="P1490" s="16"/>
      <c r="Q1490" s="16"/>
      <c r="R1490" s="16"/>
      <c r="S1490" s="16"/>
      <c r="T1490" s="16"/>
      <c r="U1490" s="16"/>
      <c r="V1490" s="16"/>
      <c r="W1490" s="16"/>
      <c r="X1490" s="16"/>
      <c r="Y1490" s="16"/>
      <c r="Z1490" s="16"/>
      <c r="AA1490" s="16"/>
      <c r="AB1490" s="16"/>
    </row>
    <row r="1491" spans="3:28" ht="12.75">
      <c r="C1491" s="16"/>
      <c r="D1491" s="16"/>
      <c r="E1491" s="16"/>
      <c r="F1491" s="16"/>
      <c r="G1491" s="16"/>
      <c r="H1491" s="16"/>
      <c r="I1491" s="16"/>
      <c r="J1491" s="16"/>
      <c r="K1491" s="16"/>
      <c r="L1491" s="16"/>
      <c r="M1491" s="16"/>
      <c r="N1491" s="16"/>
      <c r="O1491" s="16"/>
      <c r="P1491" s="16"/>
      <c r="Q1491" s="16"/>
      <c r="R1491" s="16"/>
      <c r="S1491" s="16"/>
      <c r="T1491" s="16"/>
      <c r="U1491" s="16"/>
      <c r="V1491" s="16"/>
      <c r="W1491" s="16"/>
      <c r="X1491" s="16"/>
      <c r="Y1491" s="16"/>
      <c r="Z1491" s="16"/>
      <c r="AA1491" s="16"/>
      <c r="AB1491" s="16"/>
    </row>
    <row r="1492" spans="3:28" ht="12.75">
      <c r="C1492" s="16"/>
      <c r="D1492" s="16"/>
      <c r="E1492" s="16"/>
      <c r="F1492" s="16"/>
      <c r="G1492" s="16"/>
      <c r="H1492" s="16"/>
      <c r="I1492" s="16"/>
      <c r="J1492" s="16"/>
      <c r="K1492" s="16"/>
      <c r="L1492" s="16"/>
      <c r="M1492" s="16"/>
      <c r="N1492" s="16"/>
      <c r="O1492" s="16"/>
      <c r="P1492" s="16"/>
      <c r="Q1492" s="16"/>
      <c r="R1492" s="16"/>
      <c r="S1492" s="16"/>
      <c r="T1492" s="16"/>
      <c r="U1492" s="16"/>
      <c r="V1492" s="16"/>
      <c r="W1492" s="16"/>
      <c r="X1492" s="16"/>
      <c r="Y1492" s="16"/>
      <c r="Z1492" s="16"/>
      <c r="AA1492" s="16"/>
      <c r="AB1492" s="16"/>
    </row>
    <row r="1493" spans="3:28" ht="12.75">
      <c r="C1493" s="16"/>
      <c r="D1493" s="16"/>
      <c r="E1493" s="16"/>
      <c r="F1493" s="16"/>
      <c r="G1493" s="16"/>
      <c r="H1493" s="16"/>
      <c r="I1493" s="16"/>
      <c r="J1493" s="16"/>
      <c r="K1493" s="16"/>
      <c r="L1493" s="16"/>
      <c r="M1493" s="16"/>
      <c r="N1493" s="16"/>
      <c r="O1493" s="16"/>
      <c r="P1493" s="16"/>
      <c r="Q1493" s="16"/>
      <c r="R1493" s="16"/>
      <c r="S1493" s="16"/>
      <c r="T1493" s="16"/>
      <c r="U1493" s="16"/>
      <c r="V1493" s="16"/>
      <c r="W1493" s="16"/>
      <c r="X1493" s="16"/>
      <c r="Y1493" s="16"/>
      <c r="Z1493" s="16"/>
      <c r="AA1493" s="16"/>
      <c r="AB1493" s="16"/>
    </row>
    <row r="1494" spans="3:28" ht="12.75">
      <c r="C1494" s="16"/>
      <c r="D1494" s="16"/>
      <c r="E1494" s="16"/>
      <c r="F1494" s="16"/>
      <c r="G1494" s="16"/>
      <c r="H1494" s="16"/>
      <c r="I1494" s="16"/>
      <c r="J1494" s="16"/>
      <c r="K1494" s="16"/>
      <c r="L1494" s="16"/>
      <c r="M1494" s="16"/>
      <c r="N1494" s="16"/>
      <c r="O1494" s="16"/>
      <c r="P1494" s="16"/>
      <c r="Q1494" s="16"/>
      <c r="R1494" s="16"/>
      <c r="S1494" s="16"/>
      <c r="T1494" s="16"/>
      <c r="U1494" s="16"/>
      <c r="V1494" s="16"/>
      <c r="W1494" s="16"/>
      <c r="X1494" s="16"/>
      <c r="Y1494" s="16"/>
      <c r="Z1494" s="16"/>
      <c r="AA1494" s="16"/>
      <c r="AB1494" s="16"/>
    </row>
    <row r="1495" spans="3:28" ht="12.75">
      <c r="C1495" s="16"/>
      <c r="D1495" s="16"/>
      <c r="E1495" s="16"/>
      <c r="F1495" s="16"/>
      <c r="G1495" s="16"/>
      <c r="H1495" s="16"/>
      <c r="I1495" s="16"/>
      <c r="J1495" s="16"/>
      <c r="K1495" s="16"/>
      <c r="L1495" s="16"/>
      <c r="M1495" s="16"/>
      <c r="N1495" s="16"/>
      <c r="O1495" s="16"/>
      <c r="P1495" s="16"/>
      <c r="Q1495" s="16"/>
      <c r="R1495" s="16"/>
      <c r="S1495" s="16"/>
      <c r="T1495" s="16"/>
      <c r="U1495" s="16"/>
      <c r="V1495" s="16"/>
      <c r="W1495" s="16"/>
      <c r="X1495" s="16"/>
      <c r="Y1495" s="16"/>
      <c r="Z1495" s="16"/>
      <c r="AA1495" s="16"/>
      <c r="AB1495" s="16"/>
    </row>
    <row r="1496" spans="3:28" ht="12.75">
      <c r="C1496" s="16"/>
      <c r="D1496" s="16"/>
      <c r="E1496" s="16"/>
      <c r="F1496" s="16"/>
      <c r="G1496" s="16"/>
      <c r="H1496" s="16"/>
      <c r="I1496" s="16"/>
      <c r="J1496" s="16"/>
      <c r="K1496" s="16"/>
      <c r="L1496" s="16"/>
      <c r="M1496" s="16"/>
      <c r="N1496" s="16"/>
      <c r="O1496" s="16"/>
      <c r="P1496" s="16"/>
      <c r="Q1496" s="16"/>
      <c r="R1496" s="16"/>
      <c r="S1496" s="16"/>
      <c r="T1496" s="16"/>
      <c r="U1496" s="16"/>
      <c r="V1496" s="16"/>
      <c r="W1496" s="16"/>
      <c r="X1496" s="16"/>
      <c r="Y1496" s="16"/>
      <c r="Z1496" s="16"/>
      <c r="AA1496" s="16"/>
      <c r="AB1496" s="16"/>
    </row>
    <row r="1497" spans="3:28" ht="12.75">
      <c r="C1497" s="16"/>
      <c r="D1497" s="16"/>
      <c r="E1497" s="16"/>
      <c r="F1497" s="16"/>
      <c r="G1497" s="16"/>
      <c r="H1497" s="16"/>
      <c r="I1497" s="16"/>
      <c r="J1497" s="16"/>
      <c r="K1497" s="16"/>
      <c r="L1497" s="16"/>
      <c r="M1497" s="16"/>
      <c r="N1497" s="16"/>
      <c r="O1497" s="16"/>
      <c r="P1497" s="16"/>
      <c r="Q1497" s="16"/>
      <c r="R1497" s="16"/>
      <c r="S1497" s="16"/>
      <c r="T1497" s="16"/>
      <c r="U1497" s="16"/>
      <c r="V1497" s="16"/>
      <c r="W1497" s="16"/>
      <c r="X1497" s="16"/>
      <c r="Y1497" s="16"/>
      <c r="Z1497" s="16"/>
      <c r="AA1497" s="16"/>
      <c r="AB1497" s="16"/>
    </row>
    <row r="1498" spans="3:28" ht="12.75">
      <c r="C1498" s="16"/>
      <c r="D1498" s="16"/>
      <c r="E1498" s="16"/>
      <c r="F1498" s="16"/>
      <c r="G1498" s="16"/>
      <c r="H1498" s="16"/>
      <c r="I1498" s="16"/>
      <c r="J1498" s="16"/>
      <c r="K1498" s="16"/>
      <c r="L1498" s="16"/>
      <c r="M1498" s="16"/>
      <c r="N1498" s="16"/>
      <c r="O1498" s="16"/>
      <c r="P1498" s="16"/>
      <c r="Q1498" s="16"/>
      <c r="R1498" s="16"/>
      <c r="S1498" s="16"/>
      <c r="T1498" s="16"/>
      <c r="U1498" s="16"/>
      <c r="V1498" s="16"/>
      <c r="W1498" s="16"/>
      <c r="X1498" s="16"/>
      <c r="Y1498" s="16"/>
      <c r="Z1498" s="16"/>
      <c r="AA1498" s="16"/>
      <c r="AB1498" s="16"/>
    </row>
    <row r="1499" spans="3:28" ht="12.75">
      <c r="C1499" s="16"/>
      <c r="D1499" s="16"/>
      <c r="E1499" s="16"/>
      <c r="F1499" s="16"/>
      <c r="G1499" s="16"/>
      <c r="H1499" s="16"/>
      <c r="I1499" s="16"/>
      <c r="J1499" s="16"/>
      <c r="K1499" s="16"/>
      <c r="L1499" s="16"/>
      <c r="M1499" s="16"/>
      <c r="N1499" s="16"/>
      <c r="O1499" s="16"/>
      <c r="P1499" s="16"/>
      <c r="Q1499" s="16"/>
      <c r="R1499" s="16"/>
      <c r="S1499" s="16"/>
      <c r="T1499" s="16"/>
      <c r="U1499" s="16"/>
      <c r="V1499" s="16"/>
      <c r="W1499" s="16"/>
      <c r="X1499" s="16"/>
      <c r="Y1499" s="16"/>
      <c r="Z1499" s="16"/>
      <c r="AA1499" s="16"/>
      <c r="AB1499" s="16"/>
    </row>
    <row r="1500" spans="3:28" ht="12.75">
      <c r="C1500" s="16"/>
      <c r="D1500" s="16"/>
      <c r="E1500" s="16"/>
      <c r="F1500" s="16"/>
      <c r="G1500" s="16"/>
      <c r="H1500" s="16"/>
      <c r="I1500" s="16"/>
      <c r="J1500" s="16"/>
      <c r="K1500" s="16"/>
      <c r="L1500" s="16"/>
      <c r="M1500" s="16"/>
      <c r="N1500" s="16"/>
      <c r="O1500" s="16"/>
      <c r="P1500" s="16"/>
      <c r="Q1500" s="16"/>
      <c r="R1500" s="16"/>
      <c r="S1500" s="16"/>
      <c r="T1500" s="16"/>
      <c r="U1500" s="16"/>
      <c r="V1500" s="16"/>
      <c r="W1500" s="16"/>
      <c r="X1500" s="16"/>
      <c r="Y1500" s="16"/>
      <c r="Z1500" s="16"/>
      <c r="AA1500" s="16"/>
      <c r="AB1500" s="16"/>
    </row>
    <row r="1501" spans="3:28" ht="12.75">
      <c r="C1501" s="16"/>
      <c r="D1501" s="16"/>
      <c r="E1501" s="16"/>
      <c r="F1501" s="16"/>
      <c r="G1501" s="16"/>
      <c r="H1501" s="16"/>
      <c r="I1501" s="16"/>
      <c r="J1501" s="16"/>
      <c r="K1501" s="16"/>
      <c r="L1501" s="16"/>
      <c r="M1501" s="16"/>
      <c r="N1501" s="16"/>
      <c r="O1501" s="16"/>
      <c r="P1501" s="16"/>
      <c r="Q1501" s="16"/>
      <c r="R1501" s="16"/>
      <c r="S1501" s="16"/>
      <c r="T1501" s="16"/>
      <c r="U1501" s="16"/>
      <c r="V1501" s="16"/>
      <c r="W1501" s="16"/>
      <c r="X1501" s="16"/>
      <c r="Y1501" s="16"/>
      <c r="Z1501" s="16"/>
      <c r="AA1501" s="16"/>
      <c r="AB1501" s="16"/>
    </row>
    <row r="1502" spans="3:28" ht="12.75">
      <c r="C1502" s="16"/>
      <c r="D1502" s="16"/>
      <c r="E1502" s="16"/>
      <c r="F1502" s="16"/>
      <c r="G1502" s="16"/>
      <c r="H1502" s="16"/>
      <c r="I1502" s="16"/>
      <c r="J1502" s="16"/>
      <c r="K1502" s="16"/>
      <c r="L1502" s="16"/>
      <c r="M1502" s="16"/>
      <c r="N1502" s="16"/>
      <c r="O1502" s="16"/>
      <c r="P1502" s="16"/>
      <c r="Q1502" s="16"/>
      <c r="R1502" s="16"/>
      <c r="S1502" s="16"/>
      <c r="T1502" s="16"/>
      <c r="U1502" s="16"/>
      <c r="V1502" s="16"/>
      <c r="W1502" s="16"/>
      <c r="X1502" s="16"/>
      <c r="Y1502" s="16"/>
      <c r="Z1502" s="16"/>
      <c r="AA1502" s="16"/>
      <c r="AB1502" s="16"/>
    </row>
    <row r="1503" spans="3:28" ht="12.75">
      <c r="C1503" s="16"/>
      <c r="D1503" s="16"/>
      <c r="E1503" s="16"/>
      <c r="F1503" s="16"/>
      <c r="G1503" s="16"/>
      <c r="H1503" s="16"/>
      <c r="I1503" s="16"/>
      <c r="J1503" s="16"/>
      <c r="K1503" s="16"/>
      <c r="L1503" s="16"/>
      <c r="M1503" s="16"/>
      <c r="N1503" s="16"/>
      <c r="O1503" s="16"/>
      <c r="P1503" s="16"/>
      <c r="Q1503" s="16"/>
      <c r="R1503" s="16"/>
      <c r="S1503" s="16"/>
      <c r="T1503" s="16"/>
      <c r="U1503" s="16"/>
      <c r="V1503" s="16"/>
      <c r="W1503" s="16"/>
      <c r="X1503" s="16"/>
      <c r="Y1503" s="16"/>
      <c r="Z1503" s="16"/>
      <c r="AA1503" s="16"/>
      <c r="AB1503" s="16"/>
    </row>
    <row r="1504" spans="3:28" ht="12.75">
      <c r="C1504" s="16"/>
      <c r="D1504" s="16"/>
      <c r="E1504" s="16"/>
      <c r="F1504" s="16"/>
      <c r="G1504" s="16"/>
      <c r="H1504" s="16"/>
      <c r="I1504" s="16"/>
      <c r="J1504" s="16"/>
      <c r="K1504" s="16"/>
      <c r="L1504" s="16"/>
      <c r="M1504" s="16"/>
      <c r="N1504" s="16"/>
      <c r="O1504" s="16"/>
      <c r="P1504" s="16"/>
      <c r="Q1504" s="16"/>
      <c r="R1504" s="16"/>
      <c r="S1504" s="16"/>
      <c r="T1504" s="16"/>
      <c r="U1504" s="16"/>
      <c r="V1504" s="16"/>
      <c r="W1504" s="16"/>
      <c r="X1504" s="16"/>
      <c r="Y1504" s="16"/>
      <c r="Z1504" s="16"/>
      <c r="AA1504" s="16"/>
      <c r="AB1504" s="16"/>
    </row>
    <row r="1505" spans="3:28" ht="12.75">
      <c r="C1505" s="16"/>
      <c r="D1505" s="16"/>
      <c r="E1505" s="16"/>
      <c r="F1505" s="16"/>
      <c r="G1505" s="16"/>
      <c r="H1505" s="16"/>
      <c r="I1505" s="16"/>
      <c r="J1505" s="16"/>
      <c r="K1505" s="16"/>
      <c r="L1505" s="16"/>
      <c r="M1505" s="16"/>
      <c r="N1505" s="16"/>
      <c r="O1505" s="16"/>
      <c r="P1505" s="16"/>
      <c r="Q1505" s="16"/>
      <c r="R1505" s="16"/>
      <c r="S1505" s="16"/>
      <c r="T1505" s="16"/>
      <c r="U1505" s="16"/>
      <c r="V1505" s="16"/>
      <c r="W1505" s="16"/>
      <c r="X1505" s="16"/>
      <c r="Y1505" s="16"/>
      <c r="Z1505" s="16"/>
      <c r="AA1505" s="16"/>
      <c r="AB1505" s="16"/>
    </row>
    <row r="1506" spans="3:28" ht="12.75">
      <c r="C1506" s="16"/>
      <c r="D1506" s="16"/>
      <c r="E1506" s="16"/>
      <c r="F1506" s="16"/>
      <c r="G1506" s="16"/>
      <c r="H1506" s="16"/>
      <c r="I1506" s="16"/>
      <c r="J1506" s="16"/>
      <c r="K1506" s="16"/>
      <c r="L1506" s="16"/>
      <c r="M1506" s="16"/>
      <c r="N1506" s="16"/>
      <c r="O1506" s="16"/>
      <c r="P1506" s="16"/>
      <c r="Q1506" s="16"/>
      <c r="R1506" s="16"/>
      <c r="S1506" s="16"/>
      <c r="T1506" s="16"/>
      <c r="U1506" s="16"/>
      <c r="V1506" s="16"/>
      <c r="W1506" s="16"/>
      <c r="X1506" s="16"/>
      <c r="Y1506" s="16"/>
      <c r="Z1506" s="16"/>
      <c r="AA1506" s="16"/>
      <c r="AB1506" s="16"/>
    </row>
    <row r="1507" spans="3:28" ht="12.75">
      <c r="C1507" s="16"/>
      <c r="D1507" s="16"/>
      <c r="E1507" s="16"/>
      <c r="F1507" s="16"/>
      <c r="G1507" s="16"/>
      <c r="H1507" s="16"/>
      <c r="I1507" s="16"/>
      <c r="J1507" s="16"/>
      <c r="K1507" s="16"/>
      <c r="L1507" s="16"/>
      <c r="M1507" s="16"/>
      <c r="N1507" s="16"/>
      <c r="O1507" s="16"/>
      <c r="P1507" s="16"/>
      <c r="Q1507" s="16"/>
      <c r="R1507" s="16"/>
      <c r="S1507" s="16"/>
      <c r="T1507" s="16"/>
      <c r="U1507" s="16"/>
      <c r="V1507" s="16"/>
      <c r="W1507" s="16"/>
      <c r="X1507" s="16"/>
      <c r="Y1507" s="16"/>
      <c r="Z1507" s="16"/>
      <c r="AA1507" s="16"/>
      <c r="AB1507" s="16"/>
    </row>
    <row r="1508" spans="3:28" ht="12.75">
      <c r="C1508" s="16"/>
      <c r="D1508" s="16"/>
      <c r="E1508" s="16"/>
      <c r="F1508" s="16"/>
      <c r="G1508" s="16"/>
      <c r="H1508" s="16"/>
      <c r="I1508" s="16"/>
      <c r="J1508" s="16"/>
      <c r="K1508" s="16"/>
      <c r="L1508" s="16"/>
      <c r="M1508" s="16"/>
      <c r="N1508" s="16"/>
      <c r="O1508" s="16"/>
      <c r="P1508" s="16"/>
      <c r="Q1508" s="16"/>
      <c r="R1508" s="16"/>
      <c r="S1508" s="16"/>
      <c r="T1508" s="16"/>
      <c r="U1508" s="16"/>
      <c r="V1508" s="16"/>
      <c r="W1508" s="16"/>
      <c r="X1508" s="16"/>
      <c r="Y1508" s="16"/>
      <c r="Z1508" s="16"/>
      <c r="AA1508" s="16"/>
      <c r="AB1508" s="16"/>
    </row>
    <row r="1509" spans="3:28" ht="12.75">
      <c r="C1509" s="16"/>
      <c r="D1509" s="16"/>
      <c r="E1509" s="16"/>
      <c r="F1509" s="16"/>
      <c r="G1509" s="16"/>
      <c r="H1509" s="16"/>
      <c r="I1509" s="16"/>
      <c r="J1509" s="16"/>
      <c r="K1509" s="16"/>
      <c r="L1509" s="16"/>
      <c r="M1509" s="16"/>
      <c r="N1509" s="16"/>
      <c r="O1509" s="16"/>
      <c r="P1509" s="16"/>
      <c r="Q1509" s="16"/>
      <c r="R1509" s="16"/>
      <c r="S1509" s="16"/>
      <c r="T1509" s="16"/>
      <c r="U1509" s="16"/>
      <c r="V1509" s="16"/>
      <c r="W1509" s="16"/>
      <c r="X1509" s="16"/>
      <c r="Y1509" s="16"/>
      <c r="Z1509" s="16"/>
      <c r="AA1509" s="16"/>
      <c r="AB1509" s="16"/>
    </row>
    <row r="1510" spans="3:28" ht="12.75">
      <c r="C1510" s="16"/>
      <c r="D1510" s="16"/>
      <c r="E1510" s="16"/>
      <c r="F1510" s="16"/>
      <c r="G1510" s="16"/>
      <c r="H1510" s="16"/>
      <c r="I1510" s="16"/>
      <c r="J1510" s="16"/>
      <c r="K1510" s="16"/>
      <c r="L1510" s="16"/>
      <c r="M1510" s="16"/>
      <c r="N1510" s="16"/>
      <c r="O1510" s="16"/>
      <c r="P1510" s="16"/>
      <c r="Q1510" s="16"/>
      <c r="R1510" s="16"/>
      <c r="S1510" s="16"/>
      <c r="T1510" s="16"/>
      <c r="U1510" s="16"/>
      <c r="V1510" s="16"/>
      <c r="W1510" s="16"/>
      <c r="X1510" s="16"/>
      <c r="Y1510" s="16"/>
      <c r="Z1510" s="16"/>
      <c r="AA1510" s="16"/>
      <c r="AB1510" s="16"/>
    </row>
    <row r="1511" spans="3:28" ht="12.75">
      <c r="C1511" s="16"/>
      <c r="D1511" s="16"/>
      <c r="E1511" s="16"/>
      <c r="F1511" s="16"/>
      <c r="G1511" s="16"/>
      <c r="H1511" s="16"/>
      <c r="I1511" s="16"/>
      <c r="J1511" s="16"/>
      <c r="K1511" s="16"/>
      <c r="L1511" s="16"/>
      <c r="M1511" s="16"/>
      <c r="N1511" s="16"/>
      <c r="O1511" s="16"/>
      <c r="P1511" s="16"/>
      <c r="Q1511" s="16"/>
      <c r="R1511" s="16"/>
      <c r="S1511" s="16"/>
      <c r="T1511" s="16"/>
      <c r="U1511" s="16"/>
      <c r="V1511" s="16"/>
      <c r="W1511" s="16"/>
      <c r="X1511" s="16"/>
      <c r="Y1511" s="16"/>
      <c r="Z1511" s="16"/>
      <c r="AA1511" s="16"/>
      <c r="AB1511" s="16"/>
    </row>
    <row r="1512" spans="3:28" ht="12.75">
      <c r="C1512" s="16"/>
      <c r="D1512" s="16"/>
      <c r="E1512" s="16"/>
      <c r="F1512" s="16"/>
      <c r="G1512" s="16"/>
      <c r="H1512" s="16"/>
      <c r="I1512" s="16"/>
      <c r="J1512" s="16"/>
      <c r="K1512" s="16"/>
      <c r="L1512" s="16"/>
      <c r="M1512" s="16"/>
      <c r="N1512" s="16"/>
      <c r="O1512" s="16"/>
      <c r="P1512" s="16"/>
      <c r="Q1512" s="16"/>
      <c r="R1512" s="16"/>
      <c r="S1512" s="16"/>
      <c r="T1512" s="16"/>
      <c r="U1512" s="16"/>
      <c r="V1512" s="16"/>
      <c r="W1512" s="16"/>
      <c r="X1512" s="16"/>
      <c r="Y1512" s="16"/>
      <c r="Z1512" s="16"/>
      <c r="AA1512" s="16"/>
      <c r="AB1512" s="16"/>
    </row>
    <row r="1513" spans="3:28" ht="12.75">
      <c r="C1513" s="16"/>
      <c r="D1513" s="16"/>
      <c r="E1513" s="16"/>
      <c r="F1513" s="16"/>
      <c r="G1513" s="16"/>
      <c r="H1513" s="16"/>
      <c r="I1513" s="16"/>
      <c r="J1513" s="16"/>
      <c r="K1513" s="16"/>
      <c r="L1513" s="16"/>
      <c r="M1513" s="16"/>
      <c r="N1513" s="16"/>
      <c r="O1513" s="16"/>
      <c r="P1513" s="16"/>
      <c r="Q1513" s="16"/>
      <c r="R1513" s="16"/>
      <c r="S1513" s="16"/>
      <c r="T1513" s="16"/>
      <c r="U1513" s="16"/>
      <c r="V1513" s="16"/>
      <c r="W1513" s="16"/>
      <c r="X1513" s="16"/>
      <c r="Y1513" s="16"/>
      <c r="Z1513" s="16"/>
      <c r="AA1513" s="16"/>
      <c r="AB1513" s="16"/>
    </row>
    <row r="1514" spans="3:28" ht="12.75">
      <c r="C1514" s="16"/>
      <c r="D1514" s="16"/>
      <c r="E1514" s="16"/>
      <c r="F1514" s="16"/>
      <c r="G1514" s="16"/>
      <c r="H1514" s="16"/>
      <c r="I1514" s="16"/>
      <c r="J1514" s="16"/>
      <c r="K1514" s="16"/>
      <c r="L1514" s="16"/>
      <c r="M1514" s="16"/>
      <c r="N1514" s="16"/>
      <c r="O1514" s="16"/>
      <c r="P1514" s="16"/>
      <c r="Q1514" s="16"/>
      <c r="R1514" s="16"/>
      <c r="S1514" s="16"/>
      <c r="T1514" s="16"/>
      <c r="U1514" s="16"/>
      <c r="V1514" s="16"/>
      <c r="W1514" s="16"/>
      <c r="X1514" s="16"/>
      <c r="Y1514" s="16"/>
      <c r="Z1514" s="16"/>
      <c r="AA1514" s="16"/>
      <c r="AB1514" s="16"/>
    </row>
    <row r="1515" spans="3:28" ht="12.75">
      <c r="C1515" s="16"/>
      <c r="D1515" s="16"/>
      <c r="E1515" s="16"/>
      <c r="F1515" s="16"/>
      <c r="G1515" s="16"/>
      <c r="H1515" s="16"/>
      <c r="I1515" s="16"/>
      <c r="J1515" s="16"/>
      <c r="K1515" s="16"/>
      <c r="L1515" s="16"/>
      <c r="M1515" s="16"/>
      <c r="N1515" s="16"/>
      <c r="O1515" s="16"/>
      <c r="P1515" s="16"/>
      <c r="Q1515" s="16"/>
      <c r="R1515" s="16"/>
      <c r="S1515" s="16"/>
      <c r="T1515" s="16"/>
      <c r="U1515" s="16"/>
      <c r="V1515" s="16"/>
      <c r="W1515" s="16"/>
      <c r="X1515" s="16"/>
      <c r="Y1515" s="16"/>
      <c r="Z1515" s="16"/>
      <c r="AA1515" s="16"/>
      <c r="AB1515" s="16"/>
    </row>
    <row r="1516" spans="3:28" ht="12.75">
      <c r="C1516" s="16"/>
      <c r="D1516" s="16"/>
      <c r="E1516" s="16"/>
      <c r="F1516" s="16"/>
      <c r="G1516" s="16"/>
      <c r="H1516" s="16"/>
      <c r="I1516" s="16"/>
      <c r="J1516" s="16"/>
      <c r="K1516" s="16"/>
      <c r="L1516" s="16"/>
      <c r="M1516" s="16"/>
      <c r="N1516" s="16"/>
      <c r="O1516" s="16"/>
      <c r="P1516" s="16"/>
      <c r="Q1516" s="16"/>
      <c r="R1516" s="16"/>
      <c r="S1516" s="16"/>
      <c r="T1516" s="16"/>
      <c r="U1516" s="16"/>
      <c r="V1516" s="16"/>
      <c r="W1516" s="16"/>
      <c r="X1516" s="16"/>
      <c r="Y1516" s="16"/>
      <c r="Z1516" s="16"/>
      <c r="AA1516" s="16"/>
      <c r="AB1516" s="16"/>
    </row>
    <row r="1517" spans="3:28" ht="12.75">
      <c r="C1517" s="16"/>
      <c r="D1517" s="16"/>
      <c r="E1517" s="16"/>
      <c r="F1517" s="16"/>
      <c r="G1517" s="16"/>
      <c r="H1517" s="16"/>
      <c r="I1517" s="16"/>
      <c r="J1517" s="16"/>
      <c r="K1517" s="16"/>
      <c r="L1517" s="16"/>
      <c r="M1517" s="16"/>
      <c r="N1517" s="16"/>
      <c r="O1517" s="16"/>
      <c r="P1517" s="16"/>
      <c r="Q1517" s="16"/>
      <c r="R1517" s="16"/>
      <c r="S1517" s="16"/>
      <c r="T1517" s="16"/>
      <c r="U1517" s="16"/>
      <c r="V1517" s="16"/>
      <c r="W1517" s="16"/>
      <c r="X1517" s="16"/>
      <c r="Y1517" s="16"/>
      <c r="Z1517" s="16"/>
      <c r="AA1517" s="16"/>
      <c r="AB1517" s="16"/>
    </row>
    <row r="1518" spans="3:28" ht="12.75">
      <c r="C1518" s="16"/>
      <c r="D1518" s="16"/>
      <c r="E1518" s="16"/>
      <c r="F1518" s="16"/>
      <c r="G1518" s="16"/>
      <c r="H1518" s="16"/>
      <c r="I1518" s="16"/>
      <c r="J1518" s="16"/>
      <c r="K1518" s="16"/>
      <c r="L1518" s="16"/>
      <c r="M1518" s="16"/>
      <c r="N1518" s="16"/>
      <c r="O1518" s="16"/>
      <c r="P1518" s="16"/>
      <c r="Q1518" s="16"/>
      <c r="R1518" s="16"/>
      <c r="S1518" s="16"/>
      <c r="T1518" s="16"/>
      <c r="U1518" s="16"/>
      <c r="V1518" s="16"/>
      <c r="W1518" s="16"/>
      <c r="X1518" s="16"/>
      <c r="Y1518" s="16"/>
      <c r="Z1518" s="16"/>
      <c r="AA1518" s="16"/>
      <c r="AB1518" s="16"/>
    </row>
    <row r="1519" spans="3:28" ht="12.75">
      <c r="C1519" s="16"/>
      <c r="D1519" s="16"/>
      <c r="E1519" s="16"/>
      <c r="F1519" s="16"/>
      <c r="G1519" s="16"/>
      <c r="H1519" s="16"/>
      <c r="I1519" s="16"/>
      <c r="J1519" s="16"/>
      <c r="K1519" s="16"/>
      <c r="L1519" s="16"/>
      <c r="M1519" s="16"/>
      <c r="N1519" s="16"/>
      <c r="O1519" s="16"/>
      <c r="P1519" s="16"/>
      <c r="Q1519" s="16"/>
      <c r="R1519" s="16"/>
      <c r="S1519" s="16"/>
      <c r="T1519" s="16"/>
      <c r="U1519" s="16"/>
      <c r="V1519" s="16"/>
      <c r="W1519" s="16"/>
      <c r="X1519" s="16"/>
      <c r="Y1519" s="16"/>
      <c r="Z1519" s="16"/>
      <c r="AA1519" s="16"/>
      <c r="AB1519" s="16"/>
    </row>
    <row r="1520" spans="3:28" ht="12.75">
      <c r="C1520" s="16"/>
      <c r="D1520" s="16"/>
      <c r="E1520" s="16"/>
      <c r="F1520" s="16"/>
      <c r="G1520" s="16"/>
      <c r="H1520" s="16"/>
      <c r="I1520" s="16"/>
      <c r="J1520" s="16"/>
      <c r="K1520" s="16"/>
      <c r="L1520" s="16"/>
      <c r="M1520" s="16"/>
      <c r="N1520" s="16"/>
      <c r="O1520" s="16"/>
      <c r="P1520" s="16"/>
      <c r="Q1520" s="16"/>
      <c r="R1520" s="16"/>
      <c r="S1520" s="16"/>
      <c r="T1520" s="16"/>
      <c r="U1520" s="16"/>
      <c r="V1520" s="16"/>
      <c r="W1520" s="16"/>
      <c r="X1520" s="16"/>
      <c r="Y1520" s="16"/>
      <c r="Z1520" s="16"/>
      <c r="AA1520" s="16"/>
      <c r="AB1520" s="16"/>
    </row>
    <row r="1521" spans="3:28" ht="12.75">
      <c r="C1521" s="16"/>
      <c r="D1521" s="16"/>
      <c r="E1521" s="16"/>
      <c r="F1521" s="16"/>
      <c r="G1521" s="16"/>
      <c r="H1521" s="16"/>
      <c r="I1521" s="16"/>
      <c r="J1521" s="16"/>
      <c r="K1521" s="16"/>
      <c r="L1521" s="16"/>
      <c r="M1521" s="16"/>
      <c r="N1521" s="16"/>
      <c r="O1521" s="16"/>
      <c r="P1521" s="16"/>
      <c r="Q1521" s="16"/>
      <c r="R1521" s="16"/>
      <c r="S1521" s="16"/>
      <c r="T1521" s="16"/>
      <c r="U1521" s="16"/>
      <c r="V1521" s="16"/>
      <c r="W1521" s="16"/>
      <c r="X1521" s="16"/>
      <c r="Y1521" s="16"/>
      <c r="Z1521" s="16"/>
      <c r="AA1521" s="16"/>
      <c r="AB1521" s="16"/>
    </row>
    <row r="1522" spans="3:28" ht="12.75">
      <c r="C1522" s="16"/>
      <c r="D1522" s="16"/>
      <c r="E1522" s="16"/>
      <c r="F1522" s="16"/>
      <c r="G1522" s="16"/>
      <c r="H1522" s="16"/>
      <c r="I1522" s="16"/>
      <c r="J1522" s="16"/>
      <c r="K1522" s="16"/>
      <c r="L1522" s="16"/>
      <c r="M1522" s="16"/>
      <c r="N1522" s="16"/>
      <c r="O1522" s="16"/>
      <c r="P1522" s="16"/>
      <c r="Q1522" s="16"/>
      <c r="R1522" s="16"/>
      <c r="S1522" s="16"/>
      <c r="T1522" s="16"/>
      <c r="U1522" s="16"/>
      <c r="V1522" s="16"/>
      <c r="W1522" s="16"/>
      <c r="X1522" s="16"/>
      <c r="Y1522" s="16"/>
      <c r="Z1522" s="16"/>
      <c r="AA1522" s="16"/>
      <c r="AB1522" s="16"/>
    </row>
    <row r="1523" spans="3:28" ht="12.75">
      <c r="C1523" s="16"/>
      <c r="D1523" s="16"/>
      <c r="E1523" s="16"/>
      <c r="F1523" s="16"/>
      <c r="G1523" s="16"/>
      <c r="H1523" s="16"/>
      <c r="I1523" s="16"/>
      <c r="J1523" s="16"/>
      <c r="K1523" s="16"/>
      <c r="L1523" s="16"/>
      <c r="M1523" s="16"/>
      <c r="N1523" s="16"/>
      <c r="O1523" s="16"/>
      <c r="P1523" s="16"/>
      <c r="Q1523" s="16"/>
      <c r="R1523" s="16"/>
      <c r="S1523" s="16"/>
      <c r="T1523" s="16"/>
      <c r="U1523" s="16"/>
      <c r="V1523" s="16"/>
      <c r="W1523" s="16"/>
      <c r="X1523" s="16"/>
      <c r="Y1523" s="16"/>
      <c r="Z1523" s="16"/>
      <c r="AA1523" s="16"/>
      <c r="AB1523" s="16"/>
    </row>
    <row r="1524" spans="3:28" ht="12.75">
      <c r="C1524" s="16"/>
      <c r="D1524" s="16"/>
      <c r="E1524" s="16"/>
      <c r="F1524" s="16"/>
      <c r="G1524" s="16"/>
      <c r="H1524" s="16"/>
      <c r="I1524" s="16"/>
      <c r="J1524" s="16"/>
      <c r="K1524" s="16"/>
      <c r="L1524" s="16"/>
      <c r="M1524" s="16"/>
      <c r="N1524" s="16"/>
      <c r="O1524" s="16"/>
      <c r="P1524" s="16"/>
      <c r="Q1524" s="16"/>
      <c r="R1524" s="16"/>
      <c r="S1524" s="16"/>
      <c r="T1524" s="16"/>
      <c r="U1524" s="16"/>
      <c r="V1524" s="16"/>
      <c r="W1524" s="16"/>
      <c r="X1524" s="16"/>
      <c r="Y1524" s="16"/>
      <c r="Z1524" s="16"/>
      <c r="AA1524" s="16"/>
      <c r="AB1524" s="16"/>
    </row>
    <row r="1525" spans="3:28" ht="12.75">
      <c r="C1525" s="16"/>
      <c r="D1525" s="16"/>
      <c r="E1525" s="16"/>
      <c r="F1525" s="16"/>
      <c r="G1525" s="16"/>
      <c r="H1525" s="16"/>
      <c r="I1525" s="16"/>
      <c r="J1525" s="16"/>
      <c r="K1525" s="16"/>
      <c r="L1525" s="16"/>
      <c r="M1525" s="16"/>
      <c r="N1525" s="16"/>
      <c r="O1525" s="16"/>
      <c r="P1525" s="16"/>
      <c r="Q1525" s="16"/>
      <c r="R1525" s="16"/>
      <c r="S1525" s="16"/>
      <c r="T1525" s="16"/>
      <c r="U1525" s="16"/>
      <c r="V1525" s="16"/>
      <c r="W1525" s="16"/>
      <c r="X1525" s="16"/>
      <c r="Y1525" s="16"/>
      <c r="Z1525" s="16"/>
      <c r="AA1525" s="16"/>
      <c r="AB1525" s="16"/>
    </row>
    <row r="1526" spans="3:28" ht="12.75">
      <c r="C1526" s="16"/>
      <c r="D1526" s="16"/>
      <c r="E1526" s="16"/>
      <c r="F1526" s="16"/>
      <c r="G1526" s="16"/>
      <c r="H1526" s="16"/>
      <c r="I1526" s="16"/>
      <c r="J1526" s="16"/>
      <c r="K1526" s="16"/>
      <c r="L1526" s="16"/>
      <c r="M1526" s="16"/>
      <c r="N1526" s="16"/>
      <c r="O1526" s="16"/>
      <c r="P1526" s="16"/>
      <c r="Q1526" s="16"/>
      <c r="R1526" s="16"/>
      <c r="S1526" s="16"/>
      <c r="T1526" s="16"/>
      <c r="U1526" s="16"/>
      <c r="V1526" s="16"/>
      <c r="W1526" s="16"/>
      <c r="X1526" s="16"/>
      <c r="Y1526" s="16"/>
      <c r="Z1526" s="16"/>
      <c r="AA1526" s="16"/>
      <c r="AB1526" s="16"/>
    </row>
    <row r="1527" spans="3:28" ht="12.75">
      <c r="C1527" s="16"/>
      <c r="D1527" s="16"/>
      <c r="E1527" s="16"/>
      <c r="F1527" s="16"/>
      <c r="G1527" s="16"/>
      <c r="H1527" s="16"/>
      <c r="I1527" s="16"/>
      <c r="J1527" s="16"/>
      <c r="K1527" s="16"/>
      <c r="L1527" s="16"/>
      <c r="M1527" s="16"/>
      <c r="N1527" s="16"/>
      <c r="O1527" s="16"/>
      <c r="P1527" s="16"/>
      <c r="Q1527" s="16"/>
      <c r="R1527" s="16"/>
      <c r="S1527" s="16"/>
      <c r="T1527" s="16"/>
      <c r="U1527" s="16"/>
      <c r="V1527" s="16"/>
      <c r="W1527" s="16"/>
      <c r="X1527" s="16"/>
      <c r="Y1527" s="16"/>
      <c r="Z1527" s="16"/>
      <c r="AA1527" s="16"/>
      <c r="AB1527" s="16"/>
    </row>
    <row r="1528" spans="3:28" ht="12.75">
      <c r="C1528" s="16"/>
      <c r="D1528" s="16"/>
      <c r="E1528" s="16"/>
      <c r="F1528" s="16"/>
      <c r="G1528" s="16"/>
      <c r="H1528" s="16"/>
      <c r="I1528" s="16"/>
      <c r="J1528" s="16"/>
      <c r="K1528" s="16"/>
      <c r="L1528" s="16"/>
      <c r="M1528" s="16"/>
      <c r="N1528" s="16"/>
      <c r="O1528" s="16"/>
      <c r="P1528" s="16"/>
      <c r="Q1528" s="16"/>
      <c r="R1528" s="16"/>
      <c r="S1528" s="16"/>
      <c r="T1528" s="16"/>
      <c r="U1528" s="16"/>
      <c r="V1528" s="16"/>
      <c r="W1528" s="16"/>
      <c r="X1528" s="16"/>
      <c r="Y1528" s="16"/>
      <c r="Z1528" s="16"/>
      <c r="AA1528" s="16"/>
      <c r="AB1528" s="16"/>
    </row>
    <row r="1529" spans="3:28" ht="12.75">
      <c r="C1529" s="16"/>
      <c r="D1529" s="16"/>
      <c r="E1529" s="16"/>
      <c r="F1529" s="16"/>
      <c r="G1529" s="16"/>
      <c r="H1529" s="16"/>
      <c r="I1529" s="16"/>
      <c r="J1529" s="16"/>
      <c r="K1529" s="16"/>
      <c r="L1529" s="16"/>
      <c r="M1529" s="16"/>
      <c r="N1529" s="16"/>
      <c r="O1529" s="16"/>
      <c r="P1529" s="16"/>
      <c r="Q1529" s="16"/>
      <c r="R1529" s="16"/>
      <c r="S1529" s="16"/>
      <c r="T1529" s="16"/>
      <c r="U1529" s="16"/>
      <c r="V1529" s="16"/>
      <c r="W1529" s="16"/>
      <c r="X1529" s="16"/>
      <c r="Y1529" s="16"/>
      <c r="Z1529" s="16"/>
      <c r="AA1529" s="16"/>
      <c r="AB1529" s="16"/>
    </row>
    <row r="1530" spans="3:28" ht="12.75">
      <c r="C1530" s="16"/>
      <c r="D1530" s="16"/>
      <c r="E1530" s="16"/>
      <c r="F1530" s="16"/>
      <c r="G1530" s="16"/>
      <c r="H1530" s="16"/>
      <c r="I1530" s="16"/>
      <c r="J1530" s="16"/>
      <c r="K1530" s="16"/>
      <c r="L1530" s="16"/>
      <c r="M1530" s="16"/>
      <c r="N1530" s="16"/>
      <c r="O1530" s="16"/>
      <c r="P1530" s="16"/>
      <c r="Q1530" s="16"/>
      <c r="R1530" s="16"/>
      <c r="S1530" s="16"/>
      <c r="T1530" s="16"/>
      <c r="U1530" s="16"/>
      <c r="V1530" s="16"/>
      <c r="W1530" s="16"/>
      <c r="X1530" s="16"/>
      <c r="Y1530" s="16"/>
      <c r="Z1530" s="16"/>
      <c r="AA1530" s="16"/>
      <c r="AB1530" s="16"/>
    </row>
    <row r="1531" spans="3:28" ht="12.75">
      <c r="C1531" s="16"/>
      <c r="D1531" s="16"/>
      <c r="E1531" s="16"/>
      <c r="F1531" s="16"/>
      <c r="G1531" s="16"/>
      <c r="H1531" s="16"/>
      <c r="I1531" s="16"/>
      <c r="J1531" s="16"/>
      <c r="K1531" s="16"/>
      <c r="L1531" s="16"/>
      <c r="M1531" s="16"/>
      <c r="N1531" s="16"/>
      <c r="O1531" s="16"/>
      <c r="P1531" s="16"/>
      <c r="Q1531" s="16"/>
      <c r="R1531" s="16"/>
      <c r="S1531" s="16"/>
      <c r="T1531" s="16"/>
      <c r="U1531" s="16"/>
      <c r="V1531" s="16"/>
      <c r="W1531" s="16"/>
      <c r="X1531" s="16"/>
      <c r="Y1531" s="16"/>
      <c r="Z1531" s="16"/>
      <c r="AA1531" s="16"/>
      <c r="AB1531" s="16"/>
    </row>
    <row r="1532" spans="3:28" ht="12.75">
      <c r="C1532" s="16"/>
      <c r="D1532" s="16"/>
      <c r="E1532" s="16"/>
      <c r="F1532" s="16"/>
      <c r="G1532" s="16"/>
      <c r="H1532" s="16"/>
      <c r="I1532" s="16"/>
      <c r="J1532" s="16"/>
      <c r="K1532" s="16"/>
      <c r="L1532" s="16"/>
      <c r="M1532" s="16"/>
      <c r="N1532" s="16"/>
      <c r="O1532" s="16"/>
      <c r="P1532" s="16"/>
      <c r="Q1532" s="16"/>
      <c r="R1532" s="16"/>
      <c r="S1532" s="16"/>
      <c r="T1532" s="16"/>
      <c r="U1532" s="16"/>
      <c r="V1532" s="16"/>
      <c r="W1532" s="16"/>
      <c r="X1532" s="16"/>
      <c r="Y1532" s="16"/>
      <c r="Z1532" s="16"/>
      <c r="AA1532" s="16"/>
      <c r="AB1532" s="16"/>
    </row>
    <row r="1533" spans="3:28" ht="12.75">
      <c r="C1533" s="16"/>
      <c r="D1533" s="16"/>
      <c r="E1533" s="16"/>
      <c r="F1533" s="16"/>
      <c r="G1533" s="16"/>
      <c r="H1533" s="16"/>
      <c r="I1533" s="16"/>
      <c r="J1533" s="16"/>
      <c r="K1533" s="16"/>
      <c r="L1533" s="16"/>
      <c r="M1533" s="16"/>
      <c r="N1533" s="16"/>
      <c r="O1533" s="16"/>
      <c r="P1533" s="16"/>
      <c r="Q1533" s="16"/>
      <c r="R1533" s="16"/>
      <c r="S1533" s="16"/>
      <c r="T1533" s="16"/>
      <c r="U1533" s="16"/>
      <c r="V1533" s="16"/>
      <c r="W1533" s="16"/>
      <c r="X1533" s="16"/>
      <c r="Y1533" s="16"/>
      <c r="Z1533" s="16"/>
      <c r="AA1533" s="16"/>
      <c r="AB1533" s="16"/>
    </row>
    <row r="1534" spans="3:28" ht="12.75">
      <c r="C1534" s="16"/>
      <c r="D1534" s="16"/>
      <c r="E1534" s="16"/>
      <c r="F1534" s="16"/>
      <c r="G1534" s="16"/>
      <c r="H1534" s="16"/>
      <c r="I1534" s="16"/>
      <c r="J1534" s="16"/>
      <c r="K1534" s="16"/>
      <c r="L1534" s="16"/>
      <c r="M1534" s="16"/>
      <c r="N1534" s="16"/>
      <c r="O1534" s="16"/>
      <c r="P1534" s="16"/>
      <c r="Q1534" s="16"/>
      <c r="R1534" s="16"/>
      <c r="S1534" s="16"/>
      <c r="T1534" s="16"/>
      <c r="U1534" s="16"/>
      <c r="V1534" s="16"/>
      <c r="W1534" s="16"/>
      <c r="X1534" s="16"/>
      <c r="Y1534" s="16"/>
      <c r="Z1534" s="16"/>
      <c r="AA1534" s="16"/>
      <c r="AB1534" s="16"/>
    </row>
    <row r="1535" spans="3:28" ht="12.75">
      <c r="C1535" s="16"/>
      <c r="D1535" s="16"/>
      <c r="E1535" s="16"/>
      <c r="F1535" s="16"/>
      <c r="G1535" s="16"/>
      <c r="H1535" s="16"/>
      <c r="I1535" s="16"/>
      <c r="J1535" s="16"/>
      <c r="K1535" s="16"/>
      <c r="L1535" s="16"/>
      <c r="M1535" s="16"/>
      <c r="N1535" s="16"/>
      <c r="O1535" s="16"/>
      <c r="P1535" s="16"/>
      <c r="Q1535" s="16"/>
      <c r="R1535" s="16"/>
      <c r="S1535" s="16"/>
      <c r="T1535" s="16"/>
      <c r="U1535" s="16"/>
      <c r="V1535" s="16"/>
      <c r="W1535" s="16"/>
      <c r="X1535" s="16"/>
      <c r="Y1535" s="16"/>
      <c r="Z1535" s="16"/>
      <c r="AA1535" s="16"/>
      <c r="AB1535" s="16"/>
    </row>
    <row r="1536" spans="3:28" ht="12.75">
      <c r="C1536" s="16"/>
      <c r="D1536" s="16"/>
      <c r="E1536" s="16"/>
      <c r="F1536" s="16"/>
      <c r="G1536" s="16"/>
      <c r="H1536" s="16"/>
      <c r="I1536" s="16"/>
      <c r="J1536" s="16"/>
      <c r="K1536" s="16"/>
      <c r="L1536" s="16"/>
      <c r="M1536" s="16"/>
      <c r="N1536" s="16"/>
      <c r="O1536" s="16"/>
      <c r="P1536" s="16"/>
      <c r="Q1536" s="16"/>
      <c r="R1536" s="16"/>
      <c r="S1536" s="16"/>
      <c r="T1536" s="16"/>
      <c r="U1536" s="16"/>
      <c r="V1536" s="16"/>
      <c r="W1536" s="16"/>
      <c r="X1536" s="16"/>
      <c r="Y1536" s="16"/>
      <c r="Z1536" s="16"/>
      <c r="AA1536" s="16"/>
      <c r="AB1536" s="16"/>
    </row>
    <row r="1537" spans="3:28" ht="12.75">
      <c r="C1537" s="16"/>
      <c r="D1537" s="16"/>
      <c r="E1537" s="16"/>
      <c r="F1537" s="16"/>
      <c r="G1537" s="16"/>
      <c r="H1537" s="16"/>
      <c r="I1537" s="16"/>
      <c r="J1537" s="16"/>
      <c r="K1537" s="16"/>
      <c r="L1537" s="16"/>
      <c r="M1537" s="16"/>
      <c r="N1537" s="16"/>
      <c r="O1537" s="16"/>
      <c r="P1537" s="16"/>
      <c r="Q1537" s="16"/>
      <c r="R1537" s="16"/>
      <c r="S1537" s="16"/>
      <c r="T1537" s="16"/>
      <c r="U1537" s="16"/>
      <c r="V1537" s="16"/>
      <c r="W1537" s="16"/>
      <c r="X1537" s="16"/>
      <c r="Y1537" s="16"/>
      <c r="Z1537" s="16"/>
      <c r="AA1537" s="16"/>
      <c r="AB1537" s="16"/>
    </row>
    <row r="1538" spans="3:28" ht="12.75">
      <c r="C1538" s="16"/>
      <c r="D1538" s="16"/>
      <c r="E1538" s="16"/>
      <c r="F1538" s="16"/>
      <c r="G1538" s="16"/>
      <c r="H1538" s="16"/>
      <c r="I1538" s="16"/>
      <c r="J1538" s="16"/>
      <c r="K1538" s="16"/>
      <c r="L1538" s="16"/>
      <c r="M1538" s="16"/>
      <c r="N1538" s="16"/>
      <c r="O1538" s="16"/>
      <c r="P1538" s="16"/>
      <c r="Q1538" s="16"/>
      <c r="R1538" s="16"/>
      <c r="S1538" s="16"/>
      <c r="T1538" s="16"/>
      <c r="U1538" s="16"/>
      <c r="V1538" s="16"/>
      <c r="W1538" s="16"/>
      <c r="X1538" s="16"/>
      <c r="Y1538" s="16"/>
      <c r="Z1538" s="16"/>
      <c r="AA1538" s="16"/>
      <c r="AB1538" s="16"/>
    </row>
    <row r="1539" spans="3:28" ht="12.75">
      <c r="C1539" s="16"/>
      <c r="D1539" s="16"/>
      <c r="E1539" s="16"/>
      <c r="F1539" s="16"/>
      <c r="G1539" s="16"/>
      <c r="H1539" s="16"/>
      <c r="I1539" s="16"/>
      <c r="J1539" s="16"/>
      <c r="K1539" s="16"/>
      <c r="L1539" s="16"/>
      <c r="M1539" s="16"/>
      <c r="N1539" s="16"/>
      <c r="O1539" s="16"/>
      <c r="P1539" s="16"/>
      <c r="Q1539" s="16"/>
      <c r="R1539" s="16"/>
      <c r="S1539" s="16"/>
      <c r="T1539" s="16"/>
      <c r="U1539" s="16"/>
      <c r="V1539" s="16"/>
      <c r="W1539" s="16"/>
      <c r="X1539" s="16"/>
      <c r="Y1539" s="16"/>
      <c r="Z1539" s="16"/>
      <c r="AA1539" s="16"/>
      <c r="AB1539" s="16"/>
    </row>
    <row r="1540" spans="3:28" ht="12.75">
      <c r="C1540" s="16"/>
      <c r="D1540" s="16"/>
      <c r="E1540" s="16"/>
      <c r="F1540" s="16"/>
      <c r="G1540" s="16"/>
      <c r="H1540" s="16"/>
      <c r="I1540" s="16"/>
      <c r="J1540" s="16"/>
      <c r="K1540" s="16"/>
      <c r="L1540" s="16"/>
      <c r="M1540" s="16"/>
      <c r="N1540" s="16"/>
      <c r="O1540" s="16"/>
      <c r="P1540" s="16"/>
      <c r="Q1540" s="16"/>
      <c r="R1540" s="16"/>
      <c r="S1540" s="16"/>
      <c r="T1540" s="16"/>
      <c r="U1540" s="16"/>
      <c r="V1540" s="16"/>
      <c r="W1540" s="16"/>
      <c r="X1540" s="16"/>
      <c r="Y1540" s="16"/>
      <c r="Z1540" s="16"/>
      <c r="AA1540" s="16"/>
      <c r="AB1540" s="16"/>
    </row>
    <row r="1541" spans="3:28" ht="12.75">
      <c r="C1541" s="16"/>
      <c r="D1541" s="16"/>
      <c r="E1541" s="16"/>
      <c r="F1541" s="16"/>
      <c r="G1541" s="16"/>
      <c r="H1541" s="16"/>
      <c r="I1541" s="16"/>
      <c r="J1541" s="16"/>
      <c r="K1541" s="16"/>
      <c r="L1541" s="16"/>
      <c r="M1541" s="16"/>
      <c r="N1541" s="16"/>
      <c r="O1541" s="16"/>
      <c r="P1541" s="16"/>
      <c r="Q1541" s="16"/>
      <c r="R1541" s="16"/>
      <c r="S1541" s="16"/>
      <c r="T1541" s="16"/>
      <c r="U1541" s="16"/>
      <c r="V1541" s="16"/>
      <c r="W1541" s="16"/>
      <c r="X1541" s="16"/>
      <c r="Y1541" s="16"/>
      <c r="Z1541" s="16"/>
      <c r="AA1541" s="16"/>
      <c r="AB1541" s="16"/>
    </row>
    <row r="1542" spans="3:28" ht="12.75">
      <c r="C1542" s="16"/>
      <c r="D1542" s="16"/>
      <c r="E1542" s="16"/>
      <c r="F1542" s="16"/>
      <c r="G1542" s="16"/>
      <c r="H1542" s="16"/>
      <c r="I1542" s="16"/>
      <c r="J1542" s="16"/>
      <c r="K1542" s="16"/>
      <c r="L1542" s="16"/>
      <c r="M1542" s="16"/>
      <c r="N1542" s="16"/>
      <c r="O1542" s="16"/>
      <c r="P1542" s="16"/>
      <c r="Q1542" s="16"/>
      <c r="R1542" s="16"/>
      <c r="S1542" s="16"/>
      <c r="T1542" s="16"/>
      <c r="U1542" s="16"/>
      <c r="V1542" s="16"/>
      <c r="W1542" s="16"/>
      <c r="X1542" s="16"/>
      <c r="Y1542" s="16"/>
      <c r="Z1542" s="16"/>
      <c r="AA1542" s="16"/>
      <c r="AB1542" s="16"/>
    </row>
    <row r="1543" spans="3:28" ht="12.75">
      <c r="C1543" s="16"/>
      <c r="D1543" s="16"/>
      <c r="E1543" s="16"/>
      <c r="F1543" s="16"/>
      <c r="G1543" s="16"/>
      <c r="H1543" s="16"/>
      <c r="I1543" s="16"/>
      <c r="J1543" s="16"/>
      <c r="K1543" s="16"/>
      <c r="L1543" s="16"/>
      <c r="M1543" s="16"/>
      <c r="N1543" s="16"/>
      <c r="O1543" s="16"/>
      <c r="P1543" s="16"/>
      <c r="Q1543" s="16"/>
      <c r="R1543" s="16"/>
      <c r="S1543" s="16"/>
      <c r="T1543" s="16"/>
      <c r="U1543" s="16"/>
      <c r="V1543" s="16"/>
      <c r="W1543" s="16"/>
      <c r="X1543" s="16"/>
      <c r="Y1543" s="16"/>
      <c r="Z1543" s="16"/>
      <c r="AA1543" s="16"/>
      <c r="AB1543" s="16"/>
    </row>
    <row r="1544" spans="3:28" ht="12.75">
      <c r="C1544" s="16"/>
      <c r="D1544" s="16"/>
      <c r="E1544" s="16"/>
      <c r="F1544" s="16"/>
      <c r="G1544" s="16"/>
      <c r="H1544" s="16"/>
      <c r="I1544" s="16"/>
      <c r="J1544" s="16"/>
      <c r="K1544" s="16"/>
      <c r="L1544" s="16"/>
      <c r="M1544" s="16"/>
      <c r="N1544" s="16"/>
      <c r="O1544" s="16"/>
      <c r="P1544" s="16"/>
      <c r="Q1544" s="16"/>
      <c r="R1544" s="16"/>
      <c r="S1544" s="16"/>
      <c r="T1544" s="16"/>
      <c r="U1544" s="16"/>
      <c r="V1544" s="16"/>
      <c r="W1544" s="16"/>
      <c r="X1544" s="16"/>
      <c r="Y1544" s="16"/>
      <c r="Z1544" s="16"/>
      <c r="AA1544" s="16"/>
      <c r="AB1544" s="16"/>
    </row>
    <row r="1545" spans="3:28" ht="12.75">
      <c r="C1545" s="16"/>
      <c r="D1545" s="16"/>
      <c r="E1545" s="16"/>
      <c r="F1545" s="16"/>
      <c r="G1545" s="16"/>
      <c r="H1545" s="16"/>
      <c r="I1545" s="16"/>
      <c r="J1545" s="16"/>
      <c r="K1545" s="16"/>
      <c r="L1545" s="16"/>
      <c r="M1545" s="16"/>
      <c r="N1545" s="16"/>
      <c r="O1545" s="16"/>
      <c r="P1545" s="16"/>
      <c r="Q1545" s="16"/>
      <c r="R1545" s="16"/>
      <c r="S1545" s="16"/>
      <c r="T1545" s="16"/>
      <c r="U1545" s="16"/>
      <c r="V1545" s="16"/>
      <c r="W1545" s="16"/>
      <c r="X1545" s="16"/>
      <c r="Y1545" s="16"/>
      <c r="Z1545" s="16"/>
      <c r="AA1545" s="16"/>
      <c r="AB1545" s="16"/>
    </row>
    <row r="1546" spans="3:28" ht="12.75">
      <c r="C1546" s="16"/>
      <c r="D1546" s="16"/>
      <c r="E1546" s="16"/>
      <c r="F1546" s="16"/>
      <c r="G1546" s="16"/>
      <c r="H1546" s="16"/>
      <c r="I1546" s="16"/>
      <c r="J1546" s="16"/>
      <c r="K1546" s="16"/>
      <c r="L1546" s="16"/>
      <c r="M1546" s="16"/>
      <c r="N1546" s="16"/>
      <c r="O1546" s="16"/>
      <c r="P1546" s="16"/>
      <c r="Q1546" s="16"/>
      <c r="R1546" s="16"/>
      <c r="S1546" s="16"/>
      <c r="T1546" s="16"/>
      <c r="U1546" s="16"/>
      <c r="V1546" s="16"/>
      <c r="W1546" s="16"/>
      <c r="X1546" s="16"/>
      <c r="Y1546" s="16"/>
      <c r="Z1546" s="16"/>
      <c r="AA1546" s="16"/>
      <c r="AB1546" s="16"/>
    </row>
    <row r="1547" spans="3:28" ht="12.75">
      <c r="C1547" s="16"/>
      <c r="D1547" s="16"/>
      <c r="E1547" s="16"/>
      <c r="F1547" s="16"/>
      <c r="G1547" s="16"/>
      <c r="H1547" s="16"/>
      <c r="I1547" s="16"/>
      <c r="J1547" s="16"/>
      <c r="K1547" s="16"/>
      <c r="L1547" s="16"/>
      <c r="M1547" s="16"/>
      <c r="N1547" s="16"/>
      <c r="O1547" s="16"/>
      <c r="P1547" s="16"/>
      <c r="Q1547" s="16"/>
      <c r="R1547" s="16"/>
      <c r="S1547" s="16"/>
      <c r="T1547" s="16"/>
      <c r="U1547" s="16"/>
      <c r="V1547" s="16"/>
      <c r="W1547" s="16"/>
      <c r="X1547" s="16"/>
      <c r="Y1547" s="16"/>
      <c r="Z1547" s="16"/>
      <c r="AA1547" s="16"/>
      <c r="AB1547" s="16"/>
    </row>
    <row r="1548" spans="3:28" ht="12.75">
      <c r="C1548" s="16"/>
      <c r="D1548" s="16"/>
      <c r="E1548" s="16"/>
      <c r="F1548" s="16"/>
      <c r="G1548" s="16"/>
      <c r="H1548" s="16"/>
      <c r="I1548" s="16"/>
      <c r="J1548" s="16"/>
      <c r="K1548" s="16"/>
      <c r="L1548" s="16"/>
      <c r="M1548" s="16"/>
      <c r="N1548" s="16"/>
      <c r="O1548" s="16"/>
      <c r="P1548" s="16"/>
      <c r="Q1548" s="16"/>
      <c r="R1548" s="16"/>
      <c r="S1548" s="16"/>
      <c r="T1548" s="16"/>
      <c r="U1548" s="16"/>
      <c r="V1548" s="16"/>
      <c r="W1548" s="16"/>
      <c r="X1548" s="16"/>
      <c r="Y1548" s="16"/>
      <c r="Z1548" s="16"/>
      <c r="AA1548" s="16"/>
      <c r="AB1548" s="16"/>
    </row>
    <row r="1549" spans="3:28" ht="12.75">
      <c r="C1549" s="16"/>
      <c r="D1549" s="16"/>
      <c r="E1549" s="16"/>
      <c r="F1549" s="16"/>
      <c r="G1549" s="16"/>
      <c r="H1549" s="16"/>
      <c r="I1549" s="16"/>
      <c r="J1549" s="16"/>
      <c r="K1549" s="16"/>
      <c r="L1549" s="16"/>
      <c r="M1549" s="16"/>
      <c r="N1549" s="16"/>
      <c r="O1549" s="16"/>
      <c r="P1549" s="16"/>
      <c r="Q1549" s="16"/>
      <c r="R1549" s="16"/>
      <c r="S1549" s="16"/>
      <c r="T1549" s="16"/>
      <c r="U1549" s="16"/>
      <c r="V1549" s="16"/>
      <c r="W1549" s="16"/>
      <c r="X1549" s="16"/>
      <c r="Y1549" s="16"/>
      <c r="Z1549" s="16"/>
      <c r="AA1549" s="16"/>
      <c r="AB1549" s="16"/>
    </row>
    <row r="1550" spans="3:28" ht="12.75">
      <c r="C1550" s="16"/>
      <c r="D1550" s="16"/>
      <c r="E1550" s="16"/>
      <c r="F1550" s="16"/>
      <c r="G1550" s="16"/>
      <c r="H1550" s="16"/>
      <c r="I1550" s="16"/>
      <c r="J1550" s="16"/>
      <c r="K1550" s="16"/>
      <c r="L1550" s="16"/>
      <c r="M1550" s="16"/>
      <c r="N1550" s="16"/>
      <c r="O1550" s="16"/>
      <c r="P1550" s="16"/>
      <c r="Q1550" s="16"/>
      <c r="R1550" s="16"/>
      <c r="S1550" s="16"/>
      <c r="T1550" s="16"/>
      <c r="U1550" s="16"/>
      <c r="V1550" s="16"/>
      <c r="W1550" s="16"/>
      <c r="X1550" s="16"/>
      <c r="Y1550" s="16"/>
      <c r="Z1550" s="16"/>
      <c r="AA1550" s="16"/>
      <c r="AB1550" s="16"/>
    </row>
    <row r="1551" spans="3:28" ht="12.75">
      <c r="C1551" s="16"/>
      <c r="D1551" s="16"/>
      <c r="E1551" s="16"/>
      <c r="F1551" s="16"/>
      <c r="G1551" s="16"/>
      <c r="H1551" s="16"/>
      <c r="I1551" s="16"/>
      <c r="J1551" s="16"/>
      <c r="K1551" s="16"/>
      <c r="L1551" s="16"/>
      <c r="M1551" s="16"/>
      <c r="N1551" s="16"/>
      <c r="O1551" s="16"/>
      <c r="P1551" s="16"/>
      <c r="Q1551" s="16"/>
      <c r="R1551" s="16"/>
      <c r="S1551" s="16"/>
      <c r="T1551" s="16"/>
      <c r="U1551" s="16"/>
      <c r="V1551" s="16"/>
      <c r="W1551" s="16"/>
      <c r="X1551" s="16"/>
      <c r="Y1551" s="16"/>
      <c r="Z1551" s="16"/>
      <c r="AA1551" s="16"/>
      <c r="AB1551" s="16"/>
    </row>
    <row r="1552" spans="3:28" ht="12.75">
      <c r="C1552" s="16"/>
      <c r="D1552" s="16"/>
      <c r="E1552" s="16"/>
      <c r="F1552" s="16"/>
      <c r="G1552" s="16"/>
      <c r="H1552" s="16"/>
      <c r="I1552" s="16"/>
      <c r="J1552" s="16"/>
      <c r="K1552" s="16"/>
      <c r="L1552" s="16"/>
      <c r="M1552" s="16"/>
      <c r="N1552" s="16"/>
      <c r="O1552" s="16"/>
      <c r="P1552" s="16"/>
      <c r="Q1552" s="16"/>
      <c r="R1552" s="16"/>
      <c r="S1552" s="16"/>
      <c r="T1552" s="16"/>
      <c r="U1552" s="16"/>
      <c r="V1552" s="16"/>
      <c r="W1552" s="16"/>
      <c r="X1552" s="16"/>
      <c r="Y1552" s="16"/>
      <c r="Z1552" s="16"/>
      <c r="AA1552" s="16"/>
      <c r="AB1552" s="16"/>
    </row>
    <row r="1553" spans="3:28" ht="12.75">
      <c r="C1553" s="16"/>
      <c r="D1553" s="16"/>
      <c r="E1553" s="16"/>
      <c r="F1553" s="16"/>
      <c r="G1553" s="16"/>
      <c r="H1553" s="16"/>
      <c r="I1553" s="16"/>
      <c r="J1553" s="16"/>
      <c r="K1553" s="16"/>
      <c r="L1553" s="16"/>
      <c r="M1553" s="16"/>
      <c r="N1553" s="16"/>
      <c r="O1553" s="16"/>
      <c r="P1553" s="16"/>
      <c r="Q1553" s="16"/>
      <c r="R1553" s="16"/>
      <c r="S1553" s="16"/>
      <c r="T1553" s="16"/>
      <c r="U1553" s="16"/>
      <c r="V1553" s="16"/>
      <c r="W1553" s="16"/>
      <c r="X1553" s="16"/>
      <c r="Y1553" s="16"/>
      <c r="Z1553" s="16"/>
      <c r="AA1553" s="16"/>
      <c r="AB1553" s="16"/>
    </row>
    <row r="1554" spans="3:28" ht="12.75">
      <c r="C1554" s="16"/>
      <c r="D1554" s="16"/>
      <c r="E1554" s="16"/>
      <c r="F1554" s="16"/>
      <c r="G1554" s="16"/>
      <c r="H1554" s="16"/>
      <c r="I1554" s="16"/>
      <c r="J1554" s="16"/>
      <c r="K1554" s="16"/>
      <c r="L1554" s="16"/>
      <c r="M1554" s="16"/>
      <c r="N1554" s="16"/>
      <c r="O1554" s="16"/>
      <c r="P1554" s="16"/>
      <c r="Q1554" s="16"/>
      <c r="R1554" s="16"/>
      <c r="S1554" s="16"/>
      <c r="T1554" s="16"/>
      <c r="U1554" s="16"/>
      <c r="V1554" s="16"/>
      <c r="W1554" s="16"/>
      <c r="X1554" s="16"/>
      <c r="Y1554" s="16"/>
      <c r="Z1554" s="16"/>
      <c r="AA1554" s="16"/>
      <c r="AB1554" s="16"/>
    </row>
    <row r="1555" spans="3:28" ht="12.75">
      <c r="C1555" s="16"/>
      <c r="D1555" s="16"/>
      <c r="E1555" s="16"/>
      <c r="F1555" s="16"/>
      <c r="G1555" s="16"/>
      <c r="H1555" s="16"/>
      <c r="I1555" s="16"/>
      <c r="J1555" s="16"/>
      <c r="K1555" s="16"/>
      <c r="L1555" s="16"/>
      <c r="M1555" s="16"/>
      <c r="N1555" s="16"/>
      <c r="O1555" s="16"/>
      <c r="P1555" s="16"/>
      <c r="Q1555" s="16"/>
      <c r="R1555" s="16"/>
      <c r="S1555" s="16"/>
      <c r="T1555" s="16"/>
      <c r="U1555" s="16"/>
      <c r="V1555" s="16"/>
      <c r="W1555" s="16"/>
      <c r="X1555" s="16"/>
      <c r="Y1555" s="16"/>
      <c r="Z1555" s="16"/>
      <c r="AA1555" s="16"/>
      <c r="AB1555" s="16"/>
    </row>
    <row r="1556" spans="3:28" ht="12.75">
      <c r="C1556" s="16"/>
      <c r="D1556" s="16"/>
      <c r="E1556" s="16"/>
      <c r="F1556" s="16"/>
      <c r="G1556" s="16"/>
      <c r="H1556" s="16"/>
      <c r="I1556" s="16"/>
      <c r="J1556" s="16"/>
      <c r="K1556" s="16"/>
      <c r="L1556" s="16"/>
      <c r="M1556" s="16"/>
      <c r="N1556" s="16"/>
      <c r="O1556" s="16"/>
      <c r="P1556" s="16"/>
      <c r="Q1556" s="16"/>
      <c r="R1556" s="16"/>
      <c r="S1556" s="16"/>
      <c r="T1556" s="16"/>
      <c r="U1556" s="16"/>
      <c r="V1556" s="16"/>
      <c r="W1556" s="16"/>
      <c r="X1556" s="16"/>
      <c r="Y1556" s="16"/>
      <c r="Z1556" s="16"/>
      <c r="AA1556" s="16"/>
      <c r="AB1556" s="16"/>
    </row>
    <row r="1557" spans="3:28" ht="12.75">
      <c r="C1557" s="16"/>
      <c r="D1557" s="16"/>
      <c r="E1557" s="16"/>
      <c r="F1557" s="16"/>
      <c r="G1557" s="16"/>
      <c r="H1557" s="16"/>
      <c r="I1557" s="16"/>
      <c r="J1557" s="16"/>
      <c r="K1557" s="16"/>
      <c r="L1557" s="16"/>
      <c r="M1557" s="16"/>
      <c r="N1557" s="16"/>
      <c r="O1557" s="16"/>
      <c r="P1557" s="16"/>
      <c r="Q1557" s="16"/>
      <c r="R1557" s="16"/>
      <c r="S1557" s="16"/>
      <c r="T1557" s="16"/>
      <c r="U1557" s="16"/>
      <c r="V1557" s="16"/>
      <c r="W1557" s="16"/>
      <c r="X1557" s="16"/>
      <c r="Y1557" s="16"/>
      <c r="Z1557" s="16"/>
      <c r="AA1557" s="16"/>
      <c r="AB1557" s="16"/>
    </row>
    <row r="1558" spans="3:28" ht="12.75">
      <c r="C1558" s="16"/>
      <c r="D1558" s="16"/>
      <c r="E1558" s="16"/>
      <c r="F1558" s="16"/>
      <c r="G1558" s="16"/>
      <c r="H1558" s="16"/>
      <c r="I1558" s="16"/>
      <c r="J1558" s="16"/>
      <c r="K1558" s="16"/>
      <c r="L1558" s="16"/>
      <c r="M1558" s="16"/>
      <c r="N1558" s="16"/>
      <c r="O1558" s="16"/>
      <c r="P1558" s="16"/>
      <c r="Q1558" s="16"/>
      <c r="R1558" s="16"/>
      <c r="S1558" s="16"/>
      <c r="T1558" s="16"/>
      <c r="U1558" s="16"/>
      <c r="V1558" s="16"/>
      <c r="W1558" s="16"/>
      <c r="X1558" s="16"/>
      <c r="Y1558" s="16"/>
      <c r="Z1558" s="16"/>
      <c r="AA1558" s="16"/>
      <c r="AB1558" s="16"/>
    </row>
    <row r="1559" spans="3:28" ht="12.75">
      <c r="C1559" s="16"/>
      <c r="D1559" s="16"/>
      <c r="E1559" s="16"/>
      <c r="F1559" s="16"/>
      <c r="G1559" s="16"/>
      <c r="H1559" s="16"/>
      <c r="I1559" s="16"/>
      <c r="J1559" s="16"/>
      <c r="K1559" s="16"/>
      <c r="L1559" s="16"/>
      <c r="M1559" s="16"/>
      <c r="N1559" s="16"/>
      <c r="O1559" s="16"/>
      <c r="P1559" s="16"/>
      <c r="Q1559" s="16"/>
      <c r="R1559" s="16"/>
      <c r="S1559" s="16"/>
      <c r="T1559" s="16"/>
      <c r="U1559" s="16"/>
      <c r="V1559" s="16"/>
      <c r="W1559" s="16"/>
      <c r="X1559" s="16"/>
      <c r="Y1559" s="16"/>
      <c r="Z1559" s="16"/>
      <c r="AA1559" s="16"/>
      <c r="AB1559" s="16"/>
    </row>
    <row r="1560" spans="3:28" ht="12.75">
      <c r="C1560" s="16"/>
      <c r="D1560" s="16"/>
      <c r="E1560" s="16"/>
      <c r="F1560" s="16"/>
      <c r="G1560" s="16"/>
      <c r="H1560" s="16"/>
      <c r="I1560" s="16"/>
      <c r="J1560" s="16"/>
      <c r="K1560" s="16"/>
      <c r="L1560" s="16"/>
      <c r="M1560" s="16"/>
      <c r="N1560" s="16"/>
      <c r="O1560" s="16"/>
      <c r="P1560" s="16"/>
      <c r="Q1560" s="16"/>
      <c r="R1560" s="16"/>
      <c r="S1560" s="16"/>
      <c r="T1560" s="16"/>
      <c r="U1560" s="16"/>
      <c r="V1560" s="16"/>
      <c r="W1560" s="16"/>
      <c r="X1560" s="16"/>
      <c r="Y1560" s="16"/>
      <c r="Z1560" s="16"/>
      <c r="AA1560" s="16"/>
      <c r="AB1560" s="16"/>
    </row>
    <row r="1561" spans="3:28" ht="12.75">
      <c r="C1561" s="16"/>
      <c r="D1561" s="16"/>
      <c r="E1561" s="16"/>
      <c r="F1561" s="16"/>
      <c r="G1561" s="16"/>
      <c r="H1561" s="16"/>
      <c r="I1561" s="16"/>
      <c r="J1561" s="16"/>
      <c r="K1561" s="16"/>
      <c r="L1561" s="16"/>
      <c r="M1561" s="16"/>
      <c r="N1561" s="16"/>
      <c r="O1561" s="16"/>
      <c r="P1561" s="16"/>
      <c r="Q1561" s="16"/>
      <c r="R1561" s="16"/>
      <c r="S1561" s="16"/>
      <c r="T1561" s="16"/>
      <c r="U1561" s="16"/>
      <c r="V1561" s="16"/>
      <c r="W1561" s="16"/>
      <c r="X1561" s="16"/>
      <c r="Y1561" s="16"/>
      <c r="Z1561" s="16"/>
      <c r="AA1561" s="16"/>
      <c r="AB1561" s="16"/>
    </row>
    <row r="1562" spans="3:28" ht="12.75">
      <c r="C1562" s="16"/>
      <c r="D1562" s="16"/>
      <c r="E1562" s="16"/>
      <c r="F1562" s="16"/>
      <c r="G1562" s="16"/>
      <c r="H1562" s="16"/>
      <c r="I1562" s="16"/>
      <c r="J1562" s="16"/>
      <c r="K1562" s="16"/>
      <c r="L1562" s="16"/>
      <c r="M1562" s="16"/>
      <c r="N1562" s="16"/>
      <c r="O1562" s="16"/>
      <c r="P1562" s="16"/>
      <c r="Q1562" s="16"/>
      <c r="R1562" s="16"/>
      <c r="S1562" s="16"/>
      <c r="T1562" s="16"/>
      <c r="U1562" s="16"/>
      <c r="V1562" s="16"/>
      <c r="W1562" s="16"/>
      <c r="X1562" s="16"/>
      <c r="Y1562" s="16"/>
      <c r="Z1562" s="16"/>
      <c r="AA1562" s="16"/>
      <c r="AB1562" s="16"/>
    </row>
    <row r="1563" spans="3:28" ht="12.75">
      <c r="C1563" s="16"/>
      <c r="D1563" s="16"/>
      <c r="E1563" s="16"/>
      <c r="F1563" s="16"/>
      <c r="G1563" s="16"/>
      <c r="H1563" s="16"/>
      <c r="I1563" s="16"/>
      <c r="J1563" s="16"/>
      <c r="K1563" s="16"/>
      <c r="L1563" s="16"/>
      <c r="M1563" s="16"/>
      <c r="N1563" s="16"/>
      <c r="O1563" s="16"/>
      <c r="P1563" s="16"/>
      <c r="Q1563" s="16"/>
      <c r="R1563" s="16"/>
      <c r="S1563" s="16"/>
      <c r="T1563" s="16"/>
      <c r="U1563" s="16"/>
      <c r="V1563" s="16"/>
      <c r="W1563" s="16"/>
      <c r="X1563" s="16"/>
      <c r="Y1563" s="16"/>
      <c r="Z1563" s="16"/>
      <c r="AA1563" s="16"/>
      <c r="AB1563" s="16"/>
    </row>
    <row r="1564" spans="3:28" ht="12.75">
      <c r="C1564" s="16"/>
      <c r="D1564" s="16"/>
      <c r="E1564" s="16"/>
      <c r="F1564" s="16"/>
      <c r="G1564" s="16"/>
      <c r="H1564" s="16"/>
      <c r="I1564" s="16"/>
      <c r="J1564" s="16"/>
      <c r="K1564" s="16"/>
      <c r="L1564" s="16"/>
      <c r="M1564" s="16"/>
      <c r="N1564" s="16"/>
      <c r="O1564" s="16"/>
      <c r="P1564" s="16"/>
      <c r="Q1564" s="16"/>
      <c r="R1564" s="16"/>
      <c r="S1564" s="16"/>
      <c r="T1564" s="16"/>
      <c r="U1564" s="16"/>
      <c r="V1564" s="16"/>
      <c r="W1564" s="16"/>
      <c r="X1564" s="16"/>
      <c r="Y1564" s="16"/>
      <c r="Z1564" s="16"/>
      <c r="AA1564" s="16"/>
      <c r="AB1564" s="16"/>
    </row>
    <row r="1565" spans="3:28" ht="12.75">
      <c r="C1565" s="16"/>
      <c r="D1565" s="16"/>
      <c r="E1565" s="16"/>
      <c r="F1565" s="16"/>
      <c r="G1565" s="16"/>
      <c r="H1565" s="16"/>
      <c r="I1565" s="16"/>
      <c r="J1565" s="16"/>
      <c r="K1565" s="16"/>
      <c r="L1565" s="16"/>
      <c r="M1565" s="16"/>
      <c r="N1565" s="16"/>
      <c r="O1565" s="16"/>
      <c r="P1565" s="16"/>
      <c r="Q1565" s="16"/>
      <c r="R1565" s="16"/>
      <c r="S1565" s="16"/>
      <c r="T1565" s="16"/>
      <c r="U1565" s="16"/>
      <c r="V1565" s="16"/>
      <c r="W1565" s="16"/>
      <c r="X1565" s="16"/>
      <c r="Y1565" s="16"/>
      <c r="Z1565" s="16"/>
      <c r="AA1565" s="16"/>
      <c r="AB1565" s="16"/>
    </row>
    <row r="1566" spans="3:28" ht="12.75">
      <c r="C1566" s="16"/>
      <c r="D1566" s="16"/>
      <c r="E1566" s="16"/>
      <c r="F1566" s="16"/>
      <c r="G1566" s="16"/>
      <c r="H1566" s="16"/>
      <c r="I1566" s="16"/>
      <c r="J1566" s="16"/>
      <c r="K1566" s="16"/>
      <c r="L1566" s="16"/>
      <c r="M1566" s="16"/>
      <c r="N1566" s="16"/>
      <c r="O1566" s="16"/>
      <c r="P1566" s="16"/>
      <c r="Q1566" s="16"/>
      <c r="R1566" s="16"/>
      <c r="S1566" s="16"/>
      <c r="T1566" s="16"/>
      <c r="U1566" s="16"/>
      <c r="V1566" s="16"/>
      <c r="W1566" s="16"/>
      <c r="X1566" s="16"/>
      <c r="Y1566" s="16"/>
      <c r="Z1566" s="16"/>
      <c r="AA1566" s="16"/>
      <c r="AB1566" s="16"/>
    </row>
    <row r="1567" spans="3:28" ht="12.75">
      <c r="C1567" s="16"/>
      <c r="D1567" s="16"/>
      <c r="E1567" s="16"/>
      <c r="F1567" s="16"/>
      <c r="G1567" s="16"/>
      <c r="H1567" s="16"/>
      <c r="I1567" s="16"/>
      <c r="J1567" s="16"/>
      <c r="K1567" s="16"/>
      <c r="L1567" s="16"/>
      <c r="M1567" s="16"/>
      <c r="N1567" s="16"/>
      <c r="O1567" s="16"/>
      <c r="P1567" s="16"/>
      <c r="Q1567" s="16"/>
      <c r="R1567" s="16"/>
      <c r="S1567" s="16"/>
      <c r="T1567" s="16"/>
      <c r="U1567" s="16"/>
      <c r="V1567" s="16"/>
      <c r="W1567" s="16"/>
      <c r="X1567" s="16"/>
      <c r="Y1567" s="16"/>
      <c r="Z1567" s="16"/>
      <c r="AA1567" s="16"/>
      <c r="AB1567" s="16"/>
    </row>
    <row r="1568" spans="3:28" ht="12.75">
      <c r="C1568" s="16"/>
      <c r="D1568" s="16"/>
      <c r="E1568" s="16"/>
      <c r="F1568" s="16"/>
      <c r="G1568" s="16"/>
      <c r="H1568" s="16"/>
      <c r="I1568" s="16"/>
      <c r="J1568" s="16"/>
      <c r="K1568" s="16"/>
      <c r="L1568" s="16"/>
      <c r="M1568" s="16"/>
      <c r="N1568" s="16"/>
      <c r="O1568" s="16"/>
      <c r="P1568" s="16"/>
      <c r="Q1568" s="16"/>
      <c r="R1568" s="16"/>
      <c r="S1568" s="16"/>
      <c r="T1568" s="16"/>
      <c r="U1568" s="16"/>
      <c r="V1568" s="16"/>
      <c r="W1568" s="16"/>
      <c r="X1568" s="16"/>
      <c r="Y1568" s="16"/>
      <c r="Z1568" s="16"/>
      <c r="AA1568" s="16"/>
      <c r="AB1568" s="16"/>
    </row>
    <row r="1569" spans="3:28" ht="12.75">
      <c r="C1569" s="16"/>
      <c r="D1569" s="16"/>
      <c r="E1569" s="16"/>
      <c r="F1569" s="16"/>
      <c r="G1569" s="16"/>
      <c r="H1569" s="16"/>
      <c r="I1569" s="16"/>
      <c r="J1569" s="16"/>
      <c r="K1569" s="16"/>
      <c r="L1569" s="16"/>
      <c r="M1569" s="16"/>
      <c r="N1569" s="16"/>
      <c r="O1569" s="16"/>
      <c r="P1569" s="16"/>
      <c r="Q1569" s="16"/>
      <c r="R1569" s="16"/>
      <c r="S1569" s="16"/>
      <c r="T1569" s="16"/>
      <c r="U1569" s="16"/>
      <c r="V1569" s="16"/>
      <c r="W1569" s="16"/>
      <c r="X1569" s="16"/>
      <c r="Y1569" s="16"/>
      <c r="Z1569" s="16"/>
      <c r="AA1569" s="16"/>
      <c r="AB1569" s="16"/>
    </row>
    <row r="1570" spans="3:28" ht="12.75">
      <c r="C1570" s="16"/>
      <c r="D1570" s="16"/>
      <c r="E1570" s="16"/>
      <c r="F1570" s="16"/>
      <c r="G1570" s="16"/>
      <c r="H1570" s="16"/>
      <c r="I1570" s="16"/>
      <c r="J1570" s="16"/>
      <c r="K1570" s="16"/>
      <c r="L1570" s="16"/>
      <c r="M1570" s="16"/>
      <c r="N1570" s="16"/>
      <c r="O1570" s="16"/>
      <c r="P1570" s="16"/>
      <c r="Q1570" s="16"/>
      <c r="R1570" s="16"/>
      <c r="S1570" s="16"/>
      <c r="T1570" s="16"/>
      <c r="U1570" s="16"/>
      <c r="V1570" s="16"/>
      <c r="W1570" s="16"/>
      <c r="X1570" s="16"/>
      <c r="Y1570" s="16"/>
      <c r="Z1570" s="16"/>
      <c r="AA1570" s="16"/>
      <c r="AB1570" s="16"/>
    </row>
    <row r="1571" spans="3:28" ht="12.75">
      <c r="C1571" s="16"/>
      <c r="D1571" s="16"/>
      <c r="E1571" s="16"/>
      <c r="F1571" s="16"/>
      <c r="G1571" s="16"/>
      <c r="H1571" s="16"/>
      <c r="I1571" s="16"/>
      <c r="J1571" s="16"/>
      <c r="K1571" s="16"/>
      <c r="L1571" s="16"/>
      <c r="M1571" s="16"/>
      <c r="N1571" s="16"/>
      <c r="O1571" s="16"/>
      <c r="P1571" s="16"/>
      <c r="Q1571" s="16"/>
      <c r="R1571" s="16"/>
      <c r="S1571" s="16"/>
      <c r="T1571" s="16"/>
      <c r="U1571" s="16"/>
      <c r="V1571" s="16"/>
      <c r="W1571" s="16"/>
      <c r="X1571" s="16"/>
      <c r="Y1571" s="16"/>
      <c r="Z1571" s="16"/>
      <c r="AA1571" s="16"/>
      <c r="AB1571" s="16"/>
    </row>
    <row r="1572" spans="3:28" ht="12.75">
      <c r="C1572" s="16"/>
      <c r="D1572" s="16"/>
      <c r="E1572" s="16"/>
      <c r="F1572" s="16"/>
      <c r="G1572" s="16"/>
      <c r="H1572" s="16"/>
      <c r="I1572" s="16"/>
      <c r="J1572" s="16"/>
      <c r="K1572" s="16"/>
      <c r="L1572" s="16"/>
      <c r="M1572" s="16"/>
      <c r="N1572" s="16"/>
      <c r="O1572" s="16"/>
      <c r="P1572" s="16"/>
      <c r="Q1572" s="16"/>
      <c r="R1572" s="16"/>
      <c r="S1572" s="16"/>
      <c r="T1572" s="16"/>
      <c r="U1572" s="16"/>
      <c r="V1572" s="16"/>
      <c r="W1572" s="16"/>
      <c r="X1572" s="16"/>
      <c r="Y1572" s="16"/>
      <c r="Z1572" s="16"/>
      <c r="AA1572" s="16"/>
      <c r="AB1572" s="16"/>
    </row>
    <row r="1573" spans="3:28" ht="12.75">
      <c r="C1573" s="16"/>
      <c r="D1573" s="16"/>
      <c r="E1573" s="16"/>
      <c r="F1573" s="16"/>
      <c r="G1573" s="16"/>
      <c r="H1573" s="16"/>
      <c r="I1573" s="16"/>
      <c r="J1573" s="16"/>
      <c r="K1573" s="16"/>
      <c r="L1573" s="16"/>
      <c r="M1573" s="16"/>
      <c r="N1573" s="16"/>
      <c r="O1573" s="16"/>
      <c r="P1573" s="16"/>
      <c r="Q1573" s="16"/>
      <c r="R1573" s="16"/>
      <c r="S1573" s="16"/>
      <c r="T1573" s="16"/>
      <c r="U1573" s="16"/>
      <c r="V1573" s="16"/>
      <c r="W1573" s="16"/>
      <c r="X1573" s="16"/>
      <c r="Y1573" s="16"/>
      <c r="Z1573" s="16"/>
      <c r="AA1573" s="16"/>
      <c r="AB1573" s="16"/>
    </row>
    <row r="1574" spans="3:28" ht="12.75">
      <c r="C1574" s="16"/>
      <c r="D1574" s="16"/>
      <c r="E1574" s="16"/>
      <c r="F1574" s="16"/>
      <c r="G1574" s="16"/>
      <c r="H1574" s="16"/>
      <c r="I1574" s="16"/>
      <c r="J1574" s="16"/>
      <c r="K1574" s="16"/>
      <c r="L1574" s="16"/>
      <c r="M1574" s="16"/>
      <c r="N1574" s="16"/>
      <c r="O1574" s="16"/>
      <c r="P1574" s="16"/>
      <c r="Q1574" s="16"/>
      <c r="R1574" s="16"/>
      <c r="S1574" s="16"/>
      <c r="T1574" s="16"/>
      <c r="U1574" s="16"/>
      <c r="V1574" s="16"/>
      <c r="W1574" s="16"/>
      <c r="X1574" s="16"/>
      <c r="Y1574" s="16"/>
      <c r="Z1574" s="16"/>
      <c r="AA1574" s="16"/>
      <c r="AB1574" s="16"/>
    </row>
    <row r="1575" spans="3:28" ht="12.75">
      <c r="C1575" s="16"/>
      <c r="D1575" s="16"/>
      <c r="E1575" s="16"/>
      <c r="F1575" s="16"/>
      <c r="G1575" s="16"/>
      <c r="H1575" s="16"/>
      <c r="I1575" s="16"/>
      <c r="J1575" s="16"/>
      <c r="K1575" s="16"/>
      <c r="L1575" s="16"/>
      <c r="M1575" s="16"/>
      <c r="N1575" s="16"/>
      <c r="O1575" s="16"/>
      <c r="P1575" s="16"/>
      <c r="Q1575" s="16"/>
      <c r="R1575" s="16"/>
      <c r="S1575" s="16"/>
      <c r="T1575" s="16"/>
      <c r="U1575" s="16"/>
      <c r="V1575" s="16"/>
      <c r="W1575" s="16"/>
      <c r="X1575" s="16"/>
      <c r="Y1575" s="16"/>
      <c r="Z1575" s="16"/>
      <c r="AA1575" s="16"/>
      <c r="AB1575" s="16"/>
    </row>
    <row r="1576" spans="3:28" ht="12.75">
      <c r="C1576" s="16"/>
      <c r="D1576" s="16"/>
      <c r="E1576" s="16"/>
      <c r="F1576" s="16"/>
      <c r="G1576" s="16"/>
      <c r="H1576" s="16"/>
      <c r="I1576" s="16"/>
      <c r="J1576" s="16"/>
      <c r="K1576" s="16"/>
      <c r="L1576" s="16"/>
      <c r="M1576" s="16"/>
      <c r="N1576" s="16"/>
      <c r="O1576" s="16"/>
      <c r="P1576" s="16"/>
      <c r="Q1576" s="16"/>
      <c r="R1576" s="16"/>
      <c r="S1576" s="16"/>
      <c r="T1576" s="16"/>
      <c r="U1576" s="16"/>
      <c r="V1576" s="16"/>
      <c r="W1576" s="16"/>
      <c r="X1576" s="16"/>
      <c r="Y1576" s="16"/>
      <c r="Z1576" s="16"/>
      <c r="AA1576" s="16"/>
      <c r="AB1576" s="16"/>
    </row>
    <row r="1577" spans="3:28" ht="12.75">
      <c r="C1577" s="16"/>
      <c r="D1577" s="16"/>
      <c r="E1577" s="16"/>
      <c r="F1577" s="16"/>
      <c r="G1577" s="16"/>
      <c r="H1577" s="16"/>
      <c r="I1577" s="16"/>
      <c r="J1577" s="16"/>
      <c r="K1577" s="16"/>
      <c r="L1577" s="16"/>
      <c r="M1577" s="16"/>
      <c r="N1577" s="16"/>
      <c r="O1577" s="16"/>
      <c r="P1577" s="16"/>
      <c r="Q1577" s="16"/>
      <c r="R1577" s="16"/>
      <c r="S1577" s="16"/>
      <c r="T1577" s="16"/>
      <c r="U1577" s="16"/>
      <c r="V1577" s="16"/>
      <c r="W1577" s="16"/>
      <c r="X1577" s="16"/>
      <c r="Y1577" s="16"/>
      <c r="Z1577" s="16"/>
      <c r="AA1577" s="16"/>
      <c r="AB1577" s="16"/>
    </row>
    <row r="1578" spans="3:28" ht="12.75">
      <c r="C1578" s="16"/>
      <c r="D1578" s="16"/>
      <c r="E1578" s="16"/>
      <c r="F1578" s="16"/>
      <c r="G1578" s="16"/>
      <c r="H1578" s="16"/>
      <c r="I1578" s="16"/>
      <c r="J1578" s="16"/>
      <c r="K1578" s="16"/>
      <c r="L1578" s="16"/>
      <c r="M1578" s="16"/>
      <c r="N1578" s="16"/>
      <c r="O1578" s="16"/>
      <c r="P1578" s="16"/>
      <c r="Q1578" s="16"/>
      <c r="R1578" s="16"/>
      <c r="S1578" s="16"/>
      <c r="T1578" s="16"/>
      <c r="U1578" s="16"/>
      <c r="V1578" s="16"/>
      <c r="W1578" s="16"/>
      <c r="X1578" s="16"/>
      <c r="Y1578" s="16"/>
      <c r="Z1578" s="16"/>
      <c r="AA1578" s="16"/>
      <c r="AB1578" s="16"/>
    </row>
    <row r="1579" spans="3:28" ht="12.75">
      <c r="C1579" s="16"/>
      <c r="D1579" s="16"/>
      <c r="E1579" s="16"/>
      <c r="F1579" s="16"/>
      <c r="G1579" s="16"/>
      <c r="H1579" s="16"/>
      <c r="I1579" s="16"/>
      <c r="J1579" s="16"/>
      <c r="K1579" s="16"/>
      <c r="L1579" s="16"/>
      <c r="M1579" s="16"/>
      <c r="N1579" s="16"/>
      <c r="O1579" s="16"/>
      <c r="P1579" s="16"/>
      <c r="Q1579" s="16"/>
      <c r="R1579" s="16"/>
      <c r="S1579" s="16"/>
      <c r="T1579" s="16"/>
      <c r="U1579" s="16"/>
      <c r="V1579" s="16"/>
      <c r="W1579" s="16"/>
      <c r="X1579" s="16"/>
      <c r="Y1579" s="16"/>
      <c r="Z1579" s="16"/>
      <c r="AA1579" s="16"/>
      <c r="AB1579" s="16"/>
    </row>
    <row r="1580" spans="3:28" ht="12.75">
      <c r="C1580" s="16"/>
      <c r="D1580" s="16"/>
      <c r="E1580" s="16"/>
      <c r="F1580" s="16"/>
      <c r="G1580" s="16"/>
      <c r="H1580" s="16"/>
      <c r="I1580" s="16"/>
      <c r="J1580" s="16"/>
      <c r="K1580" s="16"/>
      <c r="L1580" s="16"/>
      <c r="M1580" s="16"/>
      <c r="N1580" s="16"/>
      <c r="O1580" s="16"/>
      <c r="P1580" s="16"/>
      <c r="Q1580" s="16"/>
      <c r="R1580" s="16"/>
      <c r="S1580" s="16"/>
      <c r="T1580" s="16"/>
      <c r="U1580" s="16"/>
      <c r="V1580" s="16"/>
      <c r="W1580" s="16"/>
      <c r="X1580" s="16"/>
      <c r="Y1580" s="16"/>
      <c r="Z1580" s="16"/>
      <c r="AA1580" s="16"/>
      <c r="AB1580" s="16"/>
    </row>
    <row r="1581" spans="3:28" ht="12.75">
      <c r="C1581" s="16"/>
      <c r="D1581" s="16"/>
      <c r="E1581" s="16"/>
      <c r="F1581" s="16"/>
      <c r="G1581" s="16"/>
      <c r="H1581" s="16"/>
      <c r="I1581" s="16"/>
      <c r="J1581" s="16"/>
      <c r="K1581" s="16"/>
      <c r="L1581" s="16"/>
      <c r="M1581" s="16"/>
      <c r="N1581" s="16"/>
      <c r="O1581" s="16"/>
      <c r="P1581" s="16"/>
      <c r="Q1581" s="16"/>
      <c r="R1581" s="16"/>
      <c r="S1581" s="16"/>
      <c r="T1581" s="16"/>
      <c r="U1581" s="16"/>
      <c r="V1581" s="16"/>
      <c r="W1581" s="16"/>
      <c r="X1581" s="16"/>
      <c r="Y1581" s="16"/>
      <c r="Z1581" s="16"/>
      <c r="AA1581" s="16"/>
      <c r="AB1581" s="16"/>
    </row>
    <row r="1582" spans="3:28" ht="12.75">
      <c r="C1582" s="16"/>
      <c r="D1582" s="16"/>
      <c r="E1582" s="16"/>
      <c r="F1582" s="16"/>
      <c r="G1582" s="16"/>
      <c r="H1582" s="16"/>
      <c r="I1582" s="16"/>
      <c r="J1582" s="16"/>
      <c r="K1582" s="16"/>
      <c r="L1582" s="16"/>
      <c r="M1582" s="16"/>
      <c r="N1582" s="16"/>
      <c r="O1582" s="16"/>
      <c r="P1582" s="16"/>
      <c r="Q1582" s="16"/>
      <c r="R1582" s="16"/>
      <c r="S1582" s="16"/>
      <c r="T1582" s="16"/>
      <c r="U1582" s="16"/>
      <c r="V1582" s="16"/>
      <c r="W1582" s="16"/>
      <c r="X1582" s="16"/>
      <c r="Y1582" s="16"/>
      <c r="Z1582" s="16"/>
      <c r="AA1582" s="16"/>
      <c r="AB1582" s="16"/>
    </row>
    <row r="1583" spans="3:28" ht="12.75">
      <c r="C1583" s="16"/>
      <c r="D1583" s="16"/>
      <c r="E1583" s="16"/>
      <c r="F1583" s="16"/>
      <c r="G1583" s="16"/>
      <c r="H1583" s="16"/>
      <c r="I1583" s="16"/>
      <c r="J1583" s="16"/>
      <c r="K1583" s="16"/>
      <c r="L1583" s="16"/>
      <c r="M1583" s="16"/>
      <c r="N1583" s="16"/>
      <c r="O1583" s="16"/>
      <c r="P1583" s="16"/>
      <c r="Q1583" s="16"/>
      <c r="R1583" s="16"/>
      <c r="S1583" s="16"/>
      <c r="T1583" s="16"/>
      <c r="U1583" s="16"/>
      <c r="V1583" s="16"/>
      <c r="W1583" s="16"/>
      <c r="X1583" s="16"/>
      <c r="Y1583" s="16"/>
      <c r="Z1583" s="16"/>
      <c r="AA1583" s="16"/>
      <c r="AB1583" s="16"/>
    </row>
    <row r="1584" spans="3:28" ht="12.75">
      <c r="C1584" s="16"/>
      <c r="D1584" s="16"/>
      <c r="E1584" s="16"/>
      <c r="F1584" s="16"/>
      <c r="G1584" s="16"/>
      <c r="H1584" s="16"/>
      <c r="I1584" s="16"/>
      <c r="J1584" s="16"/>
      <c r="K1584" s="16"/>
      <c r="L1584" s="16"/>
      <c r="M1584" s="16"/>
      <c r="N1584" s="16"/>
      <c r="O1584" s="16"/>
      <c r="P1584" s="16"/>
      <c r="Q1584" s="16"/>
      <c r="R1584" s="16"/>
      <c r="S1584" s="16"/>
      <c r="T1584" s="16"/>
      <c r="U1584" s="16"/>
      <c r="V1584" s="16"/>
      <c r="W1584" s="16"/>
      <c r="X1584" s="16"/>
      <c r="Y1584" s="16"/>
      <c r="Z1584" s="16"/>
      <c r="AA1584" s="16"/>
      <c r="AB1584" s="16"/>
    </row>
    <row r="1585" spans="3:28" ht="12.75">
      <c r="C1585" s="16"/>
      <c r="D1585" s="16"/>
      <c r="E1585" s="16"/>
      <c r="F1585" s="16"/>
      <c r="G1585" s="16"/>
      <c r="H1585" s="16"/>
      <c r="I1585" s="16"/>
      <c r="J1585" s="16"/>
      <c r="K1585" s="16"/>
      <c r="L1585" s="16"/>
      <c r="M1585" s="16"/>
      <c r="N1585" s="16"/>
      <c r="O1585" s="16"/>
      <c r="P1585" s="16"/>
      <c r="Q1585" s="16"/>
      <c r="R1585" s="16"/>
      <c r="S1585" s="16"/>
      <c r="T1585" s="16"/>
      <c r="U1585" s="16"/>
      <c r="V1585" s="16"/>
      <c r="W1585" s="16"/>
      <c r="X1585" s="16"/>
      <c r="Y1585" s="16"/>
      <c r="Z1585" s="16"/>
      <c r="AA1585" s="16"/>
      <c r="AB1585" s="16"/>
    </row>
    <row r="1586" spans="3:28" ht="12.75">
      <c r="C1586" s="16"/>
      <c r="D1586" s="16"/>
      <c r="E1586" s="16"/>
      <c r="F1586" s="16"/>
      <c r="G1586" s="16"/>
      <c r="H1586" s="16"/>
      <c r="I1586" s="16"/>
      <c r="J1586" s="16"/>
      <c r="K1586" s="16"/>
      <c r="L1586" s="16"/>
      <c r="M1586" s="16"/>
      <c r="N1586" s="16"/>
      <c r="O1586" s="16"/>
      <c r="P1586" s="16"/>
      <c r="Q1586" s="16"/>
      <c r="R1586" s="16"/>
      <c r="S1586" s="16"/>
      <c r="T1586" s="16"/>
      <c r="U1586" s="16"/>
      <c r="V1586" s="16"/>
      <c r="W1586" s="16"/>
      <c r="X1586" s="16"/>
      <c r="Y1586" s="16"/>
      <c r="Z1586" s="16"/>
      <c r="AA1586" s="16"/>
      <c r="AB1586" s="16"/>
    </row>
    <row r="1587" spans="3:28" ht="12.75">
      <c r="C1587" s="16"/>
      <c r="D1587" s="16"/>
      <c r="E1587" s="16"/>
      <c r="F1587" s="16"/>
      <c r="G1587" s="16"/>
      <c r="H1587" s="16"/>
      <c r="I1587" s="16"/>
      <c r="J1587" s="16"/>
      <c r="K1587" s="16"/>
      <c r="L1587" s="16"/>
      <c r="M1587" s="16"/>
      <c r="N1587" s="16"/>
      <c r="O1587" s="16"/>
      <c r="P1587" s="16"/>
      <c r="Q1587" s="16"/>
      <c r="R1587" s="16"/>
      <c r="S1587" s="16"/>
      <c r="T1587" s="16"/>
      <c r="U1587" s="16"/>
      <c r="V1587" s="16"/>
      <c r="W1587" s="16"/>
      <c r="X1587" s="16"/>
      <c r="Y1587" s="16"/>
      <c r="Z1587" s="16"/>
      <c r="AA1587" s="16"/>
      <c r="AB1587" s="16"/>
    </row>
    <row r="1588" spans="3:28" ht="12.75">
      <c r="C1588" s="16"/>
      <c r="D1588" s="16"/>
      <c r="E1588" s="16"/>
      <c r="F1588" s="16"/>
      <c r="G1588" s="16"/>
      <c r="H1588" s="16"/>
      <c r="I1588" s="16"/>
      <c r="J1588" s="16"/>
      <c r="K1588" s="16"/>
      <c r="L1588" s="16"/>
      <c r="M1588" s="16"/>
      <c r="N1588" s="16"/>
      <c r="O1588" s="16"/>
      <c r="P1588" s="16"/>
      <c r="Q1588" s="16"/>
      <c r="R1588" s="16"/>
      <c r="S1588" s="16"/>
      <c r="T1588" s="16"/>
      <c r="U1588" s="16"/>
      <c r="V1588" s="16"/>
      <c r="W1588" s="16"/>
      <c r="X1588" s="16"/>
      <c r="Y1588" s="16"/>
      <c r="Z1588" s="16"/>
      <c r="AA1588" s="16"/>
      <c r="AB1588" s="16"/>
    </row>
    <row r="1589" spans="3:28" ht="12.75">
      <c r="C1589" s="16"/>
      <c r="D1589" s="16"/>
      <c r="E1589" s="16"/>
      <c r="F1589" s="16"/>
      <c r="G1589" s="16"/>
      <c r="H1589" s="16"/>
      <c r="I1589" s="16"/>
      <c r="J1589" s="16"/>
      <c r="K1589" s="16"/>
      <c r="L1589" s="16"/>
      <c r="M1589" s="16"/>
      <c r="N1589" s="16"/>
      <c r="O1589" s="16"/>
      <c r="P1589" s="16"/>
      <c r="Q1589" s="16"/>
      <c r="R1589" s="16"/>
      <c r="S1589" s="16"/>
      <c r="T1589" s="16"/>
      <c r="U1589" s="16"/>
      <c r="V1589" s="16"/>
      <c r="W1589" s="16"/>
      <c r="X1589" s="16"/>
      <c r="Y1589" s="16"/>
      <c r="Z1589" s="16"/>
      <c r="AA1589" s="16"/>
      <c r="AB1589" s="16"/>
    </row>
    <row r="1590" spans="3:28" ht="12.75">
      <c r="C1590" s="16"/>
      <c r="D1590" s="16"/>
      <c r="E1590" s="16"/>
      <c r="F1590" s="16"/>
      <c r="G1590" s="16"/>
      <c r="H1590" s="16"/>
      <c r="I1590" s="16"/>
      <c r="J1590" s="16"/>
      <c r="K1590" s="16"/>
      <c r="L1590" s="16"/>
      <c r="M1590" s="16"/>
      <c r="N1590" s="16"/>
      <c r="O1590" s="16"/>
      <c r="P1590" s="16"/>
      <c r="Q1590" s="16"/>
      <c r="R1590" s="16"/>
      <c r="S1590" s="16"/>
      <c r="T1590" s="16"/>
      <c r="U1590" s="16"/>
      <c r="V1590" s="16"/>
      <c r="W1590" s="16"/>
      <c r="X1590" s="16"/>
      <c r="Y1590" s="16"/>
      <c r="Z1590" s="16"/>
      <c r="AA1590" s="16"/>
      <c r="AB1590" s="16"/>
    </row>
    <row r="1591" spans="3:28" ht="12.75">
      <c r="C1591" s="16"/>
      <c r="D1591" s="16"/>
      <c r="E1591" s="16"/>
      <c r="F1591" s="16"/>
      <c r="G1591" s="16"/>
      <c r="H1591" s="16"/>
      <c r="I1591" s="16"/>
      <c r="J1591" s="16"/>
      <c r="K1591" s="16"/>
      <c r="L1591" s="16"/>
      <c r="M1591" s="16"/>
      <c r="N1591" s="16"/>
      <c r="O1591" s="16"/>
      <c r="P1591" s="16"/>
      <c r="Q1591" s="16"/>
      <c r="R1591" s="16"/>
      <c r="S1591" s="16"/>
      <c r="T1591" s="16"/>
      <c r="U1591" s="16"/>
      <c r="V1591" s="16"/>
      <c r="W1591" s="16"/>
      <c r="X1591" s="16"/>
      <c r="Y1591" s="16"/>
      <c r="Z1591" s="16"/>
      <c r="AA1591" s="16"/>
      <c r="AB1591" s="16"/>
    </row>
    <row r="1592" spans="3:28" ht="12.75">
      <c r="C1592" s="16"/>
      <c r="D1592" s="16"/>
      <c r="E1592" s="16"/>
      <c r="F1592" s="16"/>
      <c r="G1592" s="16"/>
      <c r="H1592" s="16"/>
      <c r="I1592" s="16"/>
      <c r="J1592" s="16"/>
      <c r="K1592" s="16"/>
      <c r="L1592" s="16"/>
      <c r="M1592" s="16"/>
      <c r="N1592" s="16"/>
      <c r="O1592" s="16"/>
      <c r="P1592" s="16"/>
      <c r="Q1592" s="16"/>
      <c r="R1592" s="16"/>
      <c r="S1592" s="16"/>
      <c r="T1592" s="16"/>
      <c r="U1592" s="16"/>
      <c r="V1592" s="16"/>
      <c r="W1592" s="16"/>
      <c r="X1592" s="16"/>
      <c r="Y1592" s="16"/>
      <c r="Z1592" s="16"/>
      <c r="AA1592" s="16"/>
      <c r="AB1592" s="16"/>
    </row>
    <row r="1593" spans="3:28" ht="12.75">
      <c r="C1593" s="16"/>
      <c r="D1593" s="16"/>
      <c r="E1593" s="16"/>
      <c r="F1593" s="16"/>
      <c r="G1593" s="16"/>
      <c r="H1593" s="16"/>
      <c r="I1593" s="16"/>
      <c r="J1593" s="16"/>
      <c r="K1593" s="16"/>
      <c r="L1593" s="16"/>
      <c r="M1593" s="16"/>
      <c r="N1593" s="16"/>
      <c r="O1593" s="16"/>
      <c r="P1593" s="16"/>
      <c r="Q1593" s="16"/>
      <c r="R1593" s="16"/>
      <c r="S1593" s="16"/>
      <c r="T1593" s="16"/>
      <c r="U1593" s="16"/>
      <c r="V1593" s="16"/>
      <c r="W1593" s="16"/>
      <c r="X1593" s="16"/>
      <c r="Y1593" s="16"/>
      <c r="Z1593" s="16"/>
      <c r="AA1593" s="16"/>
      <c r="AB1593" s="16"/>
    </row>
    <row r="1594" spans="3:28" ht="12.75">
      <c r="C1594" s="16"/>
      <c r="D1594" s="16"/>
      <c r="E1594" s="16"/>
      <c r="F1594" s="16"/>
      <c r="G1594" s="16"/>
      <c r="H1594" s="16"/>
      <c r="I1594" s="16"/>
      <c r="J1594" s="16"/>
      <c r="K1594" s="16"/>
      <c r="L1594" s="16"/>
      <c r="M1594" s="16"/>
      <c r="N1594" s="16"/>
      <c r="O1594" s="16"/>
      <c r="P1594" s="16"/>
      <c r="Q1594" s="16"/>
      <c r="R1594" s="16"/>
      <c r="S1594" s="16"/>
      <c r="T1594" s="16"/>
      <c r="U1594" s="16"/>
      <c r="V1594" s="16"/>
      <c r="W1594" s="16"/>
      <c r="X1594" s="16"/>
      <c r="Y1594" s="16"/>
      <c r="Z1594" s="16"/>
      <c r="AA1594" s="16"/>
      <c r="AB1594" s="16"/>
    </row>
    <row r="1595" spans="3:28" ht="12.75">
      <c r="C1595" s="16"/>
      <c r="D1595" s="16"/>
      <c r="E1595" s="16"/>
      <c r="F1595" s="16"/>
      <c r="G1595" s="16"/>
      <c r="H1595" s="16"/>
      <c r="I1595" s="16"/>
      <c r="J1595" s="16"/>
      <c r="K1595" s="16"/>
      <c r="L1595" s="16"/>
      <c r="M1595" s="16"/>
      <c r="N1595" s="16"/>
      <c r="O1595" s="16"/>
      <c r="P1595" s="16"/>
      <c r="Q1595" s="16"/>
      <c r="R1595" s="16"/>
      <c r="S1595" s="16"/>
      <c r="T1595" s="16"/>
      <c r="U1595" s="16"/>
      <c r="V1595" s="16"/>
      <c r="W1595" s="16"/>
      <c r="X1595" s="16"/>
      <c r="Y1595" s="16"/>
      <c r="Z1595" s="16"/>
      <c r="AA1595" s="16"/>
      <c r="AB1595" s="16"/>
    </row>
    <row r="1596" spans="3:28" ht="12.75">
      <c r="C1596" s="16"/>
      <c r="D1596" s="16"/>
      <c r="E1596" s="16"/>
      <c r="F1596" s="16"/>
      <c r="G1596" s="16"/>
      <c r="H1596" s="16"/>
      <c r="I1596" s="16"/>
      <c r="J1596" s="16"/>
      <c r="K1596" s="16"/>
      <c r="L1596" s="16"/>
      <c r="M1596" s="16"/>
      <c r="N1596" s="16"/>
      <c r="O1596" s="16"/>
      <c r="P1596" s="16"/>
      <c r="Q1596" s="16"/>
      <c r="R1596" s="16"/>
      <c r="S1596" s="16"/>
      <c r="T1596" s="16"/>
      <c r="U1596" s="16"/>
      <c r="V1596" s="16"/>
      <c r="W1596" s="16"/>
      <c r="X1596" s="16"/>
      <c r="Y1596" s="16"/>
      <c r="Z1596" s="16"/>
      <c r="AA1596" s="16"/>
      <c r="AB1596" s="16"/>
    </row>
    <row r="1597" spans="3:28" ht="12.75">
      <c r="C1597" s="16"/>
      <c r="D1597" s="16"/>
      <c r="E1597" s="16"/>
      <c r="F1597" s="16"/>
      <c r="G1597" s="16"/>
      <c r="H1597" s="16"/>
      <c r="I1597" s="16"/>
      <c r="J1597" s="16"/>
      <c r="K1597" s="16"/>
      <c r="L1597" s="16"/>
      <c r="M1597" s="16"/>
      <c r="N1597" s="16"/>
      <c r="O1597" s="16"/>
      <c r="P1597" s="16"/>
      <c r="Q1597" s="16"/>
      <c r="R1597" s="16"/>
      <c r="S1597" s="16"/>
      <c r="T1597" s="16"/>
      <c r="U1597" s="16"/>
      <c r="V1597" s="16"/>
      <c r="W1597" s="16"/>
      <c r="X1597" s="16"/>
      <c r="Y1597" s="16"/>
      <c r="Z1597" s="16"/>
      <c r="AA1597" s="16"/>
      <c r="AB1597" s="16"/>
    </row>
    <row r="1598" spans="3:28" ht="12.75">
      <c r="C1598" s="16"/>
      <c r="D1598" s="16"/>
      <c r="E1598" s="16"/>
      <c r="F1598" s="16"/>
      <c r="G1598" s="16"/>
      <c r="H1598" s="16"/>
      <c r="I1598" s="16"/>
      <c r="J1598" s="16"/>
      <c r="K1598" s="16"/>
      <c r="L1598" s="16"/>
      <c r="M1598" s="16"/>
      <c r="N1598" s="16"/>
      <c r="O1598" s="16"/>
      <c r="P1598" s="16"/>
      <c r="Q1598" s="16"/>
      <c r="R1598" s="16"/>
      <c r="S1598" s="16"/>
      <c r="T1598" s="16"/>
      <c r="U1598" s="16"/>
      <c r="V1598" s="16"/>
      <c r="W1598" s="16"/>
      <c r="X1598" s="16"/>
      <c r="Y1598" s="16"/>
      <c r="Z1598" s="16"/>
      <c r="AA1598" s="16"/>
      <c r="AB1598" s="16"/>
    </row>
    <row r="1599" spans="3:28" ht="12.75">
      <c r="C1599" s="16"/>
      <c r="D1599" s="16"/>
      <c r="E1599" s="16"/>
      <c r="F1599" s="16"/>
      <c r="G1599" s="16"/>
      <c r="H1599" s="16"/>
      <c r="I1599" s="16"/>
      <c r="J1599" s="16"/>
      <c r="K1599" s="16"/>
      <c r="L1599" s="16"/>
      <c r="M1599" s="16"/>
      <c r="N1599" s="16"/>
      <c r="O1599" s="16"/>
      <c r="P1599" s="16"/>
      <c r="Q1599" s="16"/>
      <c r="R1599" s="16"/>
      <c r="S1599" s="16"/>
      <c r="T1599" s="16"/>
      <c r="U1599" s="16"/>
      <c r="V1599" s="16"/>
      <c r="W1599" s="16"/>
      <c r="X1599" s="16"/>
      <c r="Y1599" s="16"/>
      <c r="Z1599" s="16"/>
      <c r="AA1599" s="16"/>
      <c r="AB1599" s="16"/>
    </row>
    <row r="1600" spans="3:28" ht="12.75">
      <c r="C1600" s="16"/>
      <c r="D1600" s="16"/>
      <c r="E1600" s="16"/>
      <c r="F1600" s="16"/>
      <c r="G1600" s="16"/>
      <c r="H1600" s="16"/>
      <c r="I1600" s="16"/>
      <c r="J1600" s="16"/>
      <c r="K1600" s="16"/>
      <c r="L1600" s="16"/>
      <c r="M1600" s="16"/>
      <c r="N1600" s="16"/>
      <c r="O1600" s="16"/>
      <c r="P1600" s="16"/>
      <c r="Q1600" s="16"/>
      <c r="R1600" s="16"/>
      <c r="S1600" s="16"/>
      <c r="T1600" s="16"/>
      <c r="U1600" s="16"/>
      <c r="V1600" s="16"/>
      <c r="W1600" s="16"/>
      <c r="X1600" s="16"/>
      <c r="Y1600" s="16"/>
      <c r="Z1600" s="16"/>
      <c r="AA1600" s="16"/>
      <c r="AB1600" s="16"/>
    </row>
    <row r="1601" spans="3:28" ht="12.75">
      <c r="C1601" s="16"/>
      <c r="D1601" s="16"/>
      <c r="E1601" s="16"/>
      <c r="F1601" s="16"/>
      <c r="G1601" s="16"/>
      <c r="H1601" s="16"/>
      <c r="I1601" s="16"/>
      <c r="J1601" s="16"/>
      <c r="K1601" s="16"/>
      <c r="L1601" s="16"/>
      <c r="M1601" s="16"/>
      <c r="N1601" s="16"/>
      <c r="O1601" s="16"/>
      <c r="P1601" s="16"/>
      <c r="Q1601" s="16"/>
      <c r="R1601" s="16"/>
      <c r="S1601" s="16"/>
      <c r="T1601" s="16"/>
      <c r="U1601" s="16"/>
      <c r="V1601" s="16"/>
      <c r="W1601" s="16"/>
      <c r="X1601" s="16"/>
      <c r="Y1601" s="16"/>
      <c r="Z1601" s="16"/>
      <c r="AA1601" s="16"/>
      <c r="AB1601" s="16"/>
    </row>
    <row r="1602" spans="3:28" ht="12.75">
      <c r="C1602" s="16"/>
      <c r="D1602" s="16"/>
      <c r="E1602" s="16"/>
      <c r="F1602" s="16"/>
      <c r="G1602" s="16"/>
      <c r="H1602" s="16"/>
      <c r="I1602" s="16"/>
      <c r="J1602" s="16"/>
      <c r="K1602" s="16"/>
      <c r="L1602" s="16"/>
      <c r="M1602" s="16"/>
      <c r="N1602" s="16"/>
      <c r="O1602" s="16"/>
      <c r="P1602" s="16"/>
      <c r="Q1602" s="16"/>
      <c r="R1602" s="16"/>
      <c r="S1602" s="16"/>
      <c r="T1602" s="16"/>
      <c r="U1602" s="16"/>
      <c r="V1602" s="16"/>
      <c r="W1602" s="16"/>
      <c r="X1602" s="16"/>
      <c r="Y1602" s="16"/>
      <c r="Z1602" s="16"/>
      <c r="AA1602" s="16"/>
      <c r="AB1602" s="16"/>
    </row>
    <row r="1603" spans="3:28" ht="12.75">
      <c r="C1603" s="16"/>
      <c r="D1603" s="16"/>
      <c r="E1603" s="16"/>
      <c r="F1603" s="16"/>
      <c r="G1603" s="16"/>
      <c r="H1603" s="16"/>
      <c r="I1603" s="16"/>
      <c r="J1603" s="16"/>
      <c r="K1603" s="16"/>
      <c r="L1603" s="16"/>
      <c r="M1603" s="16"/>
      <c r="N1603" s="16"/>
      <c r="O1603" s="16"/>
      <c r="P1603" s="16"/>
      <c r="Q1603" s="16"/>
      <c r="R1603" s="16"/>
      <c r="S1603" s="16"/>
      <c r="T1603" s="16"/>
      <c r="U1603" s="16"/>
      <c r="V1603" s="16"/>
      <c r="W1603" s="16"/>
      <c r="X1603" s="16"/>
      <c r="Y1603" s="16"/>
      <c r="Z1603" s="16"/>
      <c r="AA1603" s="16"/>
      <c r="AB1603" s="16"/>
    </row>
    <row r="1604" spans="3:28" ht="12.75">
      <c r="C1604" s="16"/>
      <c r="D1604" s="16"/>
      <c r="E1604" s="16"/>
      <c r="F1604" s="16"/>
      <c r="G1604" s="16"/>
      <c r="H1604" s="16"/>
      <c r="I1604" s="16"/>
      <c r="J1604" s="16"/>
      <c r="K1604" s="16"/>
      <c r="L1604" s="16"/>
      <c r="M1604" s="16"/>
      <c r="N1604" s="16"/>
      <c r="O1604" s="16"/>
      <c r="P1604" s="16"/>
      <c r="Q1604" s="16"/>
      <c r="R1604" s="16"/>
      <c r="S1604" s="16"/>
      <c r="T1604" s="16"/>
      <c r="U1604" s="16"/>
      <c r="V1604" s="16"/>
      <c r="W1604" s="16"/>
      <c r="X1604" s="16"/>
      <c r="Y1604" s="16"/>
      <c r="Z1604" s="16"/>
      <c r="AA1604" s="16"/>
      <c r="AB1604" s="16"/>
    </row>
    <row r="1605" spans="3:28" ht="12.75">
      <c r="C1605" s="16"/>
      <c r="D1605" s="16"/>
      <c r="E1605" s="16"/>
      <c r="F1605" s="16"/>
      <c r="G1605" s="16"/>
      <c r="H1605" s="16"/>
      <c r="I1605" s="16"/>
      <c r="J1605" s="16"/>
      <c r="K1605" s="16"/>
      <c r="L1605" s="16"/>
      <c r="M1605" s="16"/>
      <c r="N1605" s="16"/>
      <c r="O1605" s="16"/>
      <c r="P1605" s="16"/>
      <c r="Q1605" s="16"/>
      <c r="R1605" s="16"/>
      <c r="S1605" s="16"/>
      <c r="T1605" s="16"/>
      <c r="U1605" s="16"/>
      <c r="V1605" s="16"/>
      <c r="W1605" s="16"/>
      <c r="X1605" s="16"/>
      <c r="Y1605" s="16"/>
      <c r="Z1605" s="16"/>
      <c r="AA1605" s="16"/>
      <c r="AB1605" s="16"/>
    </row>
    <row r="1606" spans="3:28" ht="12.75">
      <c r="C1606" s="16"/>
      <c r="D1606" s="16"/>
      <c r="E1606" s="16"/>
      <c r="F1606" s="16"/>
      <c r="G1606" s="16"/>
      <c r="H1606" s="16"/>
      <c r="I1606" s="16"/>
      <c r="J1606" s="16"/>
      <c r="K1606" s="16"/>
      <c r="L1606" s="16"/>
      <c r="M1606" s="16"/>
      <c r="N1606" s="16"/>
      <c r="O1606" s="16"/>
      <c r="P1606" s="16"/>
      <c r="Q1606" s="16"/>
      <c r="R1606" s="16"/>
      <c r="S1606" s="16"/>
      <c r="T1606" s="16"/>
      <c r="U1606" s="16"/>
      <c r="V1606" s="16"/>
      <c r="W1606" s="16"/>
      <c r="X1606" s="16"/>
      <c r="Y1606" s="16"/>
      <c r="Z1606" s="16"/>
      <c r="AA1606" s="16"/>
      <c r="AB1606" s="16"/>
    </row>
    <row r="1607" spans="3:28" ht="12.75">
      <c r="C1607" s="16"/>
      <c r="D1607" s="16"/>
      <c r="E1607" s="16"/>
      <c r="F1607" s="16"/>
      <c r="G1607" s="16"/>
      <c r="H1607" s="16"/>
      <c r="I1607" s="16"/>
      <c r="J1607" s="16"/>
      <c r="K1607" s="16"/>
      <c r="L1607" s="16"/>
      <c r="M1607" s="16"/>
      <c r="N1607" s="16"/>
      <c r="O1607" s="16"/>
      <c r="P1607" s="16"/>
      <c r="Q1607" s="16"/>
      <c r="R1607" s="16"/>
      <c r="S1607" s="16"/>
      <c r="T1607" s="16"/>
      <c r="U1607" s="16"/>
      <c r="V1607" s="16"/>
      <c r="W1607" s="16"/>
      <c r="X1607" s="16"/>
      <c r="Y1607" s="16"/>
      <c r="Z1607" s="16"/>
      <c r="AA1607" s="16"/>
      <c r="AB1607" s="16"/>
    </row>
    <row r="1608" spans="3:28" ht="12.75">
      <c r="C1608" s="16"/>
      <c r="D1608" s="16"/>
      <c r="E1608" s="16"/>
      <c r="F1608" s="16"/>
      <c r="G1608" s="16"/>
      <c r="H1608" s="16"/>
      <c r="I1608" s="16"/>
      <c r="J1608" s="16"/>
      <c r="K1608" s="16"/>
      <c r="L1608" s="16"/>
      <c r="M1608" s="16"/>
      <c r="N1608" s="16"/>
      <c r="O1608" s="16"/>
      <c r="P1608" s="16"/>
      <c r="Q1608" s="16"/>
      <c r="R1608" s="16"/>
      <c r="S1608" s="16"/>
      <c r="T1608" s="16"/>
      <c r="U1608" s="16"/>
      <c r="V1608" s="16"/>
      <c r="W1608" s="16"/>
      <c r="X1608" s="16"/>
      <c r="Y1608" s="16"/>
      <c r="Z1608" s="16"/>
      <c r="AA1608" s="16"/>
      <c r="AB1608" s="16"/>
    </row>
    <row r="1609" spans="3:28" ht="12.75">
      <c r="C1609" s="16"/>
      <c r="D1609" s="16"/>
      <c r="E1609" s="16"/>
      <c r="F1609" s="16"/>
      <c r="G1609" s="16"/>
      <c r="H1609" s="16"/>
      <c r="I1609" s="16"/>
      <c r="J1609" s="16"/>
      <c r="K1609" s="16"/>
      <c r="L1609" s="16"/>
      <c r="M1609" s="16"/>
      <c r="N1609" s="16"/>
      <c r="O1609" s="16"/>
      <c r="P1609" s="16"/>
      <c r="Q1609" s="16"/>
      <c r="R1609" s="16"/>
      <c r="S1609" s="16"/>
      <c r="T1609" s="16"/>
      <c r="U1609" s="16"/>
      <c r="V1609" s="16"/>
      <c r="W1609" s="16"/>
      <c r="X1609" s="16"/>
      <c r="Y1609" s="16"/>
      <c r="Z1609" s="16"/>
      <c r="AA1609" s="16"/>
      <c r="AB1609" s="16"/>
    </row>
    <row r="1610" spans="3:28" ht="12.75">
      <c r="C1610" s="16"/>
      <c r="D1610" s="16"/>
      <c r="E1610" s="16"/>
      <c r="F1610" s="16"/>
      <c r="G1610" s="16"/>
      <c r="H1610" s="16"/>
      <c r="I1610" s="16"/>
      <c r="J1610" s="16"/>
      <c r="K1610" s="16"/>
      <c r="L1610" s="16"/>
      <c r="M1610" s="16"/>
      <c r="N1610" s="16"/>
      <c r="O1610" s="16"/>
      <c r="P1610" s="16"/>
      <c r="Q1610" s="16"/>
      <c r="R1610" s="16"/>
      <c r="S1610" s="16"/>
      <c r="T1610" s="16"/>
      <c r="U1610" s="16"/>
      <c r="V1610" s="16"/>
      <c r="W1610" s="16"/>
      <c r="X1610" s="16"/>
      <c r="Y1610" s="16"/>
      <c r="Z1610" s="16"/>
      <c r="AA1610" s="16"/>
      <c r="AB1610" s="16"/>
    </row>
    <row r="1611" spans="3:28" ht="12.75">
      <c r="C1611" s="16"/>
      <c r="D1611" s="16"/>
      <c r="E1611" s="16"/>
      <c r="F1611" s="16"/>
      <c r="G1611" s="16"/>
      <c r="H1611" s="16"/>
      <c r="I1611" s="16"/>
      <c r="J1611" s="16"/>
      <c r="K1611" s="16"/>
      <c r="L1611" s="16"/>
      <c r="M1611" s="16"/>
      <c r="N1611" s="16"/>
      <c r="O1611" s="16"/>
      <c r="P1611" s="16"/>
      <c r="Q1611" s="16"/>
      <c r="R1611" s="16"/>
      <c r="S1611" s="16"/>
      <c r="T1611" s="16"/>
      <c r="U1611" s="16"/>
      <c r="V1611" s="16"/>
      <c r="W1611" s="16"/>
      <c r="X1611" s="16"/>
      <c r="Y1611" s="16"/>
      <c r="Z1611" s="16"/>
      <c r="AA1611" s="16"/>
      <c r="AB1611" s="16"/>
    </row>
    <row r="1612" spans="3:28" ht="12.75">
      <c r="C1612" s="16"/>
      <c r="D1612" s="16"/>
      <c r="E1612" s="16"/>
      <c r="F1612" s="16"/>
      <c r="G1612" s="16"/>
      <c r="H1612" s="16"/>
      <c r="I1612" s="16"/>
      <c r="J1612" s="16"/>
      <c r="K1612" s="16"/>
      <c r="L1612" s="16"/>
      <c r="M1612" s="16"/>
      <c r="N1612" s="16"/>
      <c r="O1612" s="16"/>
      <c r="P1612" s="16"/>
      <c r="Q1612" s="16"/>
      <c r="R1612" s="16"/>
      <c r="S1612" s="16"/>
      <c r="T1612" s="16"/>
      <c r="U1612" s="16"/>
      <c r="V1612" s="16"/>
      <c r="W1612" s="16"/>
      <c r="X1612" s="16"/>
      <c r="Y1612" s="16"/>
      <c r="Z1612" s="16"/>
      <c r="AA1612" s="16"/>
      <c r="AB1612" s="16"/>
    </row>
    <row r="1613" spans="3:28" ht="12.75">
      <c r="C1613" s="16"/>
      <c r="D1613" s="16"/>
      <c r="E1613" s="16"/>
      <c r="F1613" s="16"/>
      <c r="G1613" s="16"/>
      <c r="H1613" s="16"/>
      <c r="I1613" s="16"/>
      <c r="J1613" s="16"/>
      <c r="K1613" s="16"/>
      <c r="L1613" s="16"/>
      <c r="M1613" s="16"/>
      <c r="N1613" s="16"/>
      <c r="O1613" s="16"/>
      <c r="P1613" s="16"/>
      <c r="Q1613" s="16"/>
      <c r="R1613" s="16"/>
      <c r="S1613" s="16"/>
      <c r="T1613" s="16"/>
      <c r="U1613" s="16"/>
      <c r="V1613" s="16"/>
      <c r="W1613" s="16"/>
      <c r="X1613" s="16"/>
      <c r="Y1613" s="16"/>
      <c r="Z1613" s="16"/>
      <c r="AA1613" s="16"/>
      <c r="AB1613" s="16"/>
    </row>
    <row r="1614" spans="3:28" ht="12.75">
      <c r="C1614" s="16"/>
      <c r="D1614" s="16"/>
      <c r="E1614" s="16"/>
      <c r="F1614" s="16"/>
      <c r="G1614" s="16"/>
      <c r="H1614" s="16"/>
      <c r="I1614" s="16"/>
      <c r="J1614" s="16"/>
      <c r="K1614" s="16"/>
      <c r="L1614" s="16"/>
      <c r="M1614" s="16"/>
      <c r="N1614" s="16"/>
      <c r="O1614" s="16"/>
      <c r="P1614" s="16"/>
      <c r="Q1614" s="16"/>
      <c r="R1614" s="16"/>
      <c r="S1614" s="16"/>
      <c r="T1614" s="16"/>
      <c r="U1614" s="16"/>
      <c r="V1614" s="16"/>
      <c r="W1614" s="16"/>
      <c r="X1614" s="16"/>
      <c r="Y1614" s="16"/>
      <c r="Z1614" s="16"/>
      <c r="AA1614" s="16"/>
      <c r="AB1614" s="16"/>
    </row>
    <row r="1615" spans="3:28" ht="12.75">
      <c r="C1615" s="16"/>
      <c r="D1615" s="16"/>
      <c r="E1615" s="16"/>
      <c r="F1615" s="16"/>
      <c r="G1615" s="16"/>
      <c r="H1615" s="16"/>
      <c r="I1615" s="16"/>
      <c r="J1615" s="16"/>
      <c r="K1615" s="16"/>
      <c r="L1615" s="16"/>
      <c r="M1615" s="16"/>
      <c r="N1615" s="16"/>
      <c r="O1615" s="16"/>
      <c r="P1615" s="16"/>
      <c r="Q1615" s="16"/>
      <c r="R1615" s="16"/>
      <c r="S1615" s="16"/>
      <c r="T1615" s="16"/>
      <c r="U1615" s="16"/>
      <c r="V1615" s="16"/>
      <c r="W1615" s="16"/>
      <c r="X1615" s="16"/>
      <c r="Y1615" s="16"/>
      <c r="Z1615" s="16"/>
      <c r="AA1615" s="16"/>
      <c r="AB1615" s="16"/>
    </row>
    <row r="1616" spans="3:28" ht="12.75">
      <c r="C1616" s="16"/>
      <c r="D1616" s="16"/>
      <c r="E1616" s="16"/>
      <c r="F1616" s="16"/>
      <c r="G1616" s="16"/>
      <c r="H1616" s="16"/>
      <c r="I1616" s="16"/>
      <c r="J1616" s="16"/>
      <c r="K1616" s="16"/>
      <c r="L1616" s="16"/>
      <c r="M1616" s="16"/>
      <c r="N1616" s="16"/>
      <c r="O1616" s="16"/>
      <c r="P1616" s="16"/>
      <c r="Q1616" s="16"/>
      <c r="R1616" s="16"/>
      <c r="S1616" s="16"/>
      <c r="T1616" s="16"/>
      <c r="U1616" s="16"/>
      <c r="V1616" s="16"/>
      <c r="W1616" s="16"/>
      <c r="X1616" s="16"/>
      <c r="Y1616" s="16"/>
      <c r="Z1616" s="16"/>
      <c r="AA1616" s="16"/>
      <c r="AB1616" s="16"/>
    </row>
    <row r="1617" spans="3:28" ht="12.75">
      <c r="C1617" s="16"/>
      <c r="D1617" s="16"/>
      <c r="E1617" s="16"/>
      <c r="F1617" s="16"/>
      <c r="G1617" s="16"/>
      <c r="H1617" s="16"/>
      <c r="I1617" s="16"/>
      <c r="J1617" s="16"/>
      <c r="K1617" s="16"/>
      <c r="L1617" s="16"/>
      <c r="M1617" s="16"/>
      <c r="N1617" s="16"/>
      <c r="O1617" s="16"/>
      <c r="P1617" s="16"/>
      <c r="Q1617" s="16"/>
      <c r="R1617" s="16"/>
      <c r="S1617" s="16"/>
      <c r="T1617" s="16"/>
      <c r="U1617" s="16"/>
      <c r="V1617" s="16"/>
      <c r="W1617" s="16"/>
      <c r="X1617" s="16"/>
      <c r="Y1617" s="16"/>
      <c r="Z1617" s="16"/>
      <c r="AA1617" s="16"/>
      <c r="AB1617" s="16"/>
    </row>
    <row r="1618" spans="3:28" ht="12.75">
      <c r="C1618" s="16"/>
      <c r="D1618" s="16"/>
      <c r="E1618" s="16"/>
      <c r="F1618" s="16"/>
      <c r="G1618" s="16"/>
      <c r="H1618" s="16"/>
      <c r="I1618" s="16"/>
      <c r="J1618" s="16"/>
      <c r="K1618" s="16"/>
      <c r="L1618" s="16"/>
      <c r="M1618" s="16"/>
      <c r="N1618" s="16"/>
      <c r="O1618" s="16"/>
      <c r="P1618" s="16"/>
      <c r="Q1618" s="16"/>
      <c r="R1618" s="16"/>
      <c r="S1618" s="16"/>
      <c r="T1618" s="16"/>
      <c r="U1618" s="16"/>
      <c r="V1618" s="16"/>
      <c r="W1618" s="16"/>
      <c r="X1618" s="16"/>
      <c r="Y1618" s="16"/>
      <c r="Z1618" s="16"/>
      <c r="AA1618" s="16"/>
      <c r="AB1618" s="16"/>
    </row>
    <row r="1619" spans="3:28" ht="12.75">
      <c r="C1619" s="16"/>
      <c r="D1619" s="16"/>
      <c r="E1619" s="16"/>
      <c r="F1619" s="16"/>
      <c r="G1619" s="16"/>
      <c r="H1619" s="16"/>
      <c r="I1619" s="16"/>
      <c r="J1619" s="16"/>
      <c r="K1619" s="16"/>
      <c r="L1619" s="16"/>
      <c r="M1619" s="16"/>
      <c r="N1619" s="16"/>
      <c r="O1619" s="16"/>
      <c r="P1619" s="16"/>
      <c r="Q1619" s="16"/>
      <c r="R1619" s="16"/>
      <c r="S1619" s="16"/>
      <c r="T1619" s="16"/>
      <c r="U1619" s="16"/>
      <c r="V1619" s="16"/>
      <c r="W1619" s="16"/>
      <c r="X1619" s="16"/>
      <c r="Y1619" s="16"/>
      <c r="Z1619" s="16"/>
      <c r="AA1619" s="16"/>
      <c r="AB1619" s="16"/>
    </row>
    <row r="1620" spans="3:28" ht="12.75">
      <c r="C1620" s="16"/>
      <c r="D1620" s="16"/>
      <c r="E1620" s="16"/>
      <c r="F1620" s="16"/>
      <c r="G1620" s="16"/>
      <c r="H1620" s="16"/>
      <c r="I1620" s="16"/>
      <c r="J1620" s="16"/>
      <c r="K1620" s="16"/>
      <c r="L1620" s="16"/>
      <c r="M1620" s="16"/>
      <c r="N1620" s="16"/>
      <c r="O1620" s="16"/>
      <c r="P1620" s="16"/>
      <c r="Q1620" s="16"/>
      <c r="R1620" s="16"/>
      <c r="S1620" s="16"/>
      <c r="T1620" s="16"/>
      <c r="U1620" s="16"/>
      <c r="V1620" s="16"/>
      <c r="W1620" s="16"/>
      <c r="X1620" s="16"/>
      <c r="Y1620" s="16"/>
      <c r="Z1620" s="16"/>
      <c r="AA1620" s="16"/>
      <c r="AB1620" s="16"/>
    </row>
    <row r="1621" spans="3:28" ht="12.75">
      <c r="C1621" s="16"/>
      <c r="D1621" s="16"/>
      <c r="E1621" s="16"/>
      <c r="F1621" s="16"/>
      <c r="G1621" s="16"/>
      <c r="H1621" s="16"/>
      <c r="I1621" s="16"/>
      <c r="J1621" s="16"/>
      <c r="K1621" s="16"/>
      <c r="L1621" s="16"/>
      <c r="M1621" s="16"/>
      <c r="N1621" s="16"/>
      <c r="O1621" s="16"/>
      <c r="P1621" s="16"/>
      <c r="Q1621" s="16"/>
      <c r="R1621" s="16"/>
      <c r="S1621" s="16"/>
      <c r="T1621" s="16"/>
      <c r="U1621" s="16"/>
      <c r="V1621" s="16"/>
      <c r="W1621" s="16"/>
      <c r="X1621" s="16"/>
      <c r="Y1621" s="16"/>
      <c r="Z1621" s="16"/>
      <c r="AA1621" s="16"/>
      <c r="AB1621" s="16"/>
    </row>
    <row r="1622" spans="3:28" ht="12.75">
      <c r="C1622" s="16"/>
      <c r="D1622" s="16"/>
      <c r="E1622" s="16"/>
      <c r="F1622" s="16"/>
      <c r="G1622" s="16"/>
      <c r="H1622" s="16"/>
      <c r="I1622" s="16"/>
      <c r="J1622" s="16"/>
      <c r="K1622" s="16"/>
      <c r="L1622" s="16"/>
      <c r="M1622" s="16"/>
      <c r="N1622" s="16"/>
      <c r="O1622" s="16"/>
      <c r="P1622" s="16"/>
      <c r="Q1622" s="16"/>
      <c r="R1622" s="16"/>
      <c r="S1622" s="16"/>
      <c r="T1622" s="16"/>
      <c r="U1622" s="16"/>
      <c r="V1622" s="16"/>
      <c r="W1622" s="16"/>
      <c r="X1622" s="16"/>
      <c r="Y1622" s="16"/>
      <c r="Z1622" s="16"/>
      <c r="AA1622" s="16"/>
      <c r="AB1622" s="16"/>
    </row>
    <row r="1623" spans="3:28" ht="12.75">
      <c r="C1623" s="16"/>
      <c r="D1623" s="16"/>
      <c r="E1623" s="16"/>
      <c r="F1623" s="16"/>
      <c r="G1623" s="16"/>
      <c r="H1623" s="16"/>
      <c r="I1623" s="16"/>
      <c r="J1623" s="16"/>
      <c r="K1623" s="16"/>
      <c r="L1623" s="16"/>
      <c r="M1623" s="16"/>
      <c r="N1623" s="16"/>
      <c r="O1623" s="16"/>
      <c r="P1623" s="16"/>
      <c r="Q1623" s="16"/>
      <c r="R1623" s="16"/>
      <c r="S1623" s="16"/>
      <c r="T1623" s="16"/>
      <c r="U1623" s="16"/>
      <c r="V1623" s="16"/>
      <c r="W1623" s="16"/>
      <c r="X1623" s="16"/>
      <c r="Y1623" s="16"/>
      <c r="Z1623" s="16"/>
      <c r="AA1623" s="16"/>
      <c r="AB1623" s="16"/>
    </row>
    <row r="1624" spans="3:28" ht="12.75">
      <c r="C1624" s="16"/>
      <c r="D1624" s="16"/>
      <c r="E1624" s="16"/>
      <c r="F1624" s="16"/>
      <c r="G1624" s="16"/>
      <c r="H1624" s="16"/>
      <c r="I1624" s="16"/>
      <c r="J1624" s="16"/>
      <c r="K1624" s="16"/>
      <c r="L1624" s="16"/>
      <c r="M1624" s="16"/>
      <c r="N1624" s="16"/>
      <c r="O1624" s="16"/>
      <c r="P1624" s="16"/>
      <c r="Q1624" s="16"/>
      <c r="R1624" s="16"/>
      <c r="S1624" s="16"/>
      <c r="T1624" s="16"/>
      <c r="U1624" s="16"/>
      <c r="V1624" s="16"/>
      <c r="W1624" s="16"/>
      <c r="X1624" s="16"/>
      <c r="Y1624" s="16"/>
      <c r="Z1624" s="16"/>
      <c r="AA1624" s="16"/>
      <c r="AB1624" s="16"/>
    </row>
    <row r="1625" spans="3:28" ht="12.75">
      <c r="C1625" s="16"/>
      <c r="D1625" s="16"/>
      <c r="E1625" s="16"/>
      <c r="F1625" s="16"/>
      <c r="G1625" s="16"/>
      <c r="H1625" s="16"/>
      <c r="I1625" s="16"/>
      <c r="J1625" s="16"/>
      <c r="K1625" s="16"/>
      <c r="L1625" s="16"/>
      <c r="M1625" s="16"/>
      <c r="N1625" s="16"/>
      <c r="O1625" s="16"/>
      <c r="P1625" s="16"/>
      <c r="Q1625" s="16"/>
      <c r="R1625" s="16"/>
      <c r="S1625" s="16"/>
      <c r="T1625" s="16"/>
      <c r="U1625" s="16"/>
      <c r="V1625" s="16"/>
      <c r="W1625" s="16"/>
      <c r="X1625" s="16"/>
      <c r="Y1625" s="16"/>
      <c r="Z1625" s="16"/>
      <c r="AA1625" s="16"/>
      <c r="AB1625" s="16"/>
    </row>
    <row r="1626" spans="3:28" ht="12.75">
      <c r="C1626" s="16"/>
      <c r="D1626" s="16"/>
      <c r="E1626" s="16"/>
      <c r="F1626" s="16"/>
      <c r="G1626" s="16"/>
      <c r="H1626" s="16"/>
      <c r="I1626" s="16"/>
      <c r="J1626" s="16"/>
      <c r="K1626" s="16"/>
      <c r="L1626" s="16"/>
      <c r="M1626" s="16"/>
      <c r="N1626" s="16"/>
      <c r="O1626" s="16"/>
      <c r="P1626" s="16"/>
      <c r="Q1626" s="16"/>
      <c r="R1626" s="16"/>
      <c r="S1626" s="16"/>
      <c r="T1626" s="16"/>
      <c r="U1626" s="16"/>
      <c r="V1626" s="16"/>
      <c r="W1626" s="16"/>
      <c r="X1626" s="16"/>
      <c r="Y1626" s="16"/>
      <c r="Z1626" s="16"/>
      <c r="AA1626" s="16"/>
      <c r="AB1626" s="16"/>
    </row>
    <row r="1627" spans="3:28" ht="12.75">
      <c r="C1627" s="16"/>
      <c r="D1627" s="16"/>
      <c r="E1627" s="16"/>
      <c r="F1627" s="16"/>
      <c r="G1627" s="16"/>
      <c r="H1627" s="16"/>
      <c r="I1627" s="16"/>
      <c r="J1627" s="16"/>
      <c r="K1627" s="16"/>
      <c r="L1627" s="16"/>
      <c r="M1627" s="16"/>
      <c r="N1627" s="16"/>
      <c r="O1627" s="16"/>
      <c r="P1627" s="16"/>
      <c r="Q1627" s="16"/>
      <c r="R1627" s="16"/>
      <c r="S1627" s="16"/>
      <c r="T1627" s="16"/>
      <c r="U1627" s="16"/>
      <c r="V1627" s="16"/>
      <c r="W1627" s="16"/>
      <c r="X1627" s="16"/>
      <c r="Y1627" s="16"/>
      <c r="Z1627" s="16"/>
      <c r="AA1627" s="16"/>
      <c r="AB1627" s="16"/>
    </row>
    <row r="1628" spans="3:28" ht="12.75">
      <c r="C1628" s="16"/>
      <c r="D1628" s="16"/>
      <c r="E1628" s="16"/>
      <c r="F1628" s="16"/>
      <c r="G1628" s="16"/>
      <c r="H1628" s="16"/>
      <c r="I1628" s="16"/>
      <c r="J1628" s="16"/>
      <c r="K1628" s="16"/>
      <c r="L1628" s="16"/>
      <c r="M1628" s="16"/>
      <c r="N1628" s="16"/>
      <c r="O1628" s="16"/>
      <c r="P1628" s="16"/>
      <c r="Q1628" s="16"/>
      <c r="R1628" s="16"/>
      <c r="S1628" s="16"/>
      <c r="T1628" s="16"/>
      <c r="U1628" s="16"/>
      <c r="V1628" s="16"/>
      <c r="W1628" s="16"/>
      <c r="X1628" s="16"/>
      <c r="Y1628" s="16"/>
      <c r="Z1628" s="16"/>
      <c r="AA1628" s="16"/>
      <c r="AB1628" s="16"/>
    </row>
    <row r="1629" spans="3:28" ht="12.75">
      <c r="C1629" s="16"/>
      <c r="D1629" s="16"/>
      <c r="E1629" s="16"/>
      <c r="F1629" s="16"/>
      <c r="G1629" s="16"/>
      <c r="H1629" s="16"/>
      <c r="I1629" s="16"/>
      <c r="J1629" s="16"/>
      <c r="K1629" s="16"/>
      <c r="L1629" s="16"/>
      <c r="M1629" s="16"/>
      <c r="N1629" s="16"/>
      <c r="O1629" s="16"/>
      <c r="P1629" s="16"/>
      <c r="Q1629" s="16"/>
      <c r="R1629" s="16"/>
      <c r="S1629" s="16"/>
      <c r="T1629" s="16"/>
      <c r="U1629" s="16"/>
      <c r="V1629" s="16"/>
      <c r="W1629" s="16"/>
      <c r="X1629" s="16"/>
      <c r="Y1629" s="16"/>
      <c r="Z1629" s="16"/>
      <c r="AA1629" s="16"/>
      <c r="AB1629" s="16"/>
    </row>
    <row r="1630" spans="3:28" ht="12.75">
      <c r="C1630" s="16"/>
      <c r="D1630" s="16"/>
      <c r="E1630" s="16"/>
      <c r="F1630" s="16"/>
      <c r="G1630" s="16"/>
      <c r="H1630" s="16"/>
      <c r="I1630" s="16"/>
      <c r="J1630" s="16"/>
      <c r="K1630" s="16"/>
      <c r="L1630" s="16"/>
      <c r="M1630" s="16"/>
      <c r="N1630" s="16"/>
      <c r="O1630" s="16"/>
      <c r="P1630" s="16"/>
      <c r="Q1630" s="16"/>
      <c r="R1630" s="16"/>
      <c r="S1630" s="16"/>
      <c r="T1630" s="16"/>
      <c r="U1630" s="16"/>
      <c r="V1630" s="16"/>
      <c r="W1630" s="16"/>
      <c r="X1630" s="16"/>
      <c r="Y1630" s="16"/>
      <c r="Z1630" s="16"/>
      <c r="AA1630" s="16"/>
      <c r="AB1630" s="16"/>
    </row>
    <row r="1631" spans="3:28" ht="12.75">
      <c r="C1631" s="16"/>
      <c r="D1631" s="16"/>
      <c r="E1631" s="16"/>
      <c r="F1631" s="16"/>
      <c r="G1631" s="16"/>
      <c r="H1631" s="16"/>
      <c r="I1631" s="16"/>
      <c r="J1631" s="16"/>
      <c r="K1631" s="16"/>
      <c r="L1631" s="16"/>
      <c r="M1631" s="16"/>
      <c r="N1631" s="16"/>
      <c r="O1631" s="16"/>
      <c r="P1631" s="16"/>
      <c r="Q1631" s="16"/>
      <c r="R1631" s="16"/>
      <c r="S1631" s="16"/>
      <c r="T1631" s="16"/>
      <c r="U1631" s="16"/>
      <c r="V1631" s="16"/>
      <c r="W1631" s="16"/>
      <c r="X1631" s="16"/>
      <c r="Y1631" s="16"/>
      <c r="Z1631" s="16"/>
      <c r="AA1631" s="16"/>
      <c r="AB1631" s="16"/>
    </row>
    <row r="1632" spans="3:28" ht="12.75">
      <c r="C1632" s="16"/>
      <c r="D1632" s="16"/>
      <c r="E1632" s="16"/>
      <c r="F1632" s="16"/>
      <c r="G1632" s="16"/>
      <c r="H1632" s="16"/>
      <c r="I1632" s="16"/>
      <c r="J1632" s="16"/>
      <c r="K1632" s="16"/>
      <c r="L1632" s="16"/>
      <c r="M1632" s="16"/>
      <c r="N1632" s="16"/>
      <c r="O1632" s="16"/>
      <c r="P1632" s="16"/>
      <c r="Q1632" s="16"/>
      <c r="R1632" s="16"/>
      <c r="S1632" s="16"/>
      <c r="T1632" s="16"/>
      <c r="U1632" s="16"/>
      <c r="V1632" s="16"/>
      <c r="W1632" s="16"/>
      <c r="X1632" s="16"/>
      <c r="Y1632" s="16"/>
      <c r="Z1632" s="16"/>
      <c r="AA1632" s="16"/>
      <c r="AB1632" s="16"/>
    </row>
    <row r="1633" spans="3:28" ht="12.75">
      <c r="C1633" s="16"/>
      <c r="D1633" s="16"/>
      <c r="E1633" s="16"/>
      <c r="F1633" s="16"/>
      <c r="G1633" s="16"/>
      <c r="H1633" s="16"/>
      <c r="I1633" s="16"/>
      <c r="J1633" s="16"/>
      <c r="K1633" s="16"/>
      <c r="L1633" s="16"/>
      <c r="M1633" s="16"/>
      <c r="N1633" s="16"/>
      <c r="O1633" s="16"/>
      <c r="P1633" s="16"/>
      <c r="Q1633" s="16"/>
      <c r="R1633" s="16"/>
      <c r="S1633" s="16"/>
      <c r="T1633" s="16"/>
      <c r="U1633" s="16"/>
      <c r="V1633" s="16"/>
      <c r="W1633" s="16"/>
      <c r="X1633" s="16"/>
      <c r="Y1633" s="16"/>
      <c r="Z1633" s="16"/>
      <c r="AA1633" s="16"/>
      <c r="AB1633" s="16"/>
    </row>
    <row r="1634" spans="3:28" ht="12.75">
      <c r="C1634" s="16"/>
      <c r="D1634" s="16"/>
      <c r="E1634" s="16"/>
      <c r="F1634" s="16"/>
      <c r="G1634" s="16"/>
      <c r="H1634" s="16"/>
      <c r="I1634" s="16"/>
      <c r="J1634" s="16"/>
      <c r="K1634" s="16"/>
      <c r="L1634" s="16"/>
      <c r="M1634" s="16"/>
      <c r="N1634" s="16"/>
      <c r="O1634" s="16"/>
      <c r="P1634" s="16"/>
      <c r="Q1634" s="16"/>
      <c r="R1634" s="16"/>
      <c r="S1634" s="16"/>
      <c r="T1634" s="16"/>
      <c r="U1634" s="16"/>
      <c r="V1634" s="16"/>
      <c r="W1634" s="16"/>
      <c r="X1634" s="16"/>
      <c r="Y1634" s="16"/>
      <c r="Z1634" s="16"/>
      <c r="AA1634" s="16"/>
      <c r="AB1634" s="16"/>
    </row>
    <row r="1635" spans="3:28" ht="12.75">
      <c r="C1635" s="16"/>
      <c r="D1635" s="16"/>
      <c r="E1635" s="16"/>
      <c r="F1635" s="16"/>
      <c r="G1635" s="16"/>
      <c r="H1635" s="16"/>
      <c r="I1635" s="16"/>
      <c r="J1635" s="16"/>
      <c r="K1635" s="16"/>
      <c r="L1635" s="16"/>
      <c r="M1635" s="16"/>
      <c r="N1635" s="16"/>
      <c r="O1635" s="16"/>
      <c r="P1635" s="16"/>
      <c r="Q1635" s="16"/>
      <c r="R1635" s="16"/>
      <c r="S1635" s="16"/>
      <c r="T1635" s="16"/>
      <c r="U1635" s="16"/>
      <c r="V1635" s="16"/>
      <c r="W1635" s="16"/>
      <c r="X1635" s="16"/>
      <c r="Y1635" s="16"/>
      <c r="Z1635" s="16"/>
      <c r="AA1635" s="16"/>
      <c r="AB1635" s="16"/>
    </row>
    <row r="1636" spans="3:28" ht="12.75">
      <c r="C1636" s="16"/>
      <c r="D1636" s="16"/>
      <c r="E1636" s="16"/>
      <c r="F1636" s="16"/>
      <c r="G1636" s="16"/>
      <c r="H1636" s="16"/>
      <c r="I1636" s="16"/>
      <c r="J1636" s="16"/>
      <c r="K1636" s="16"/>
      <c r="L1636" s="16"/>
      <c r="M1636" s="16"/>
      <c r="N1636" s="16"/>
      <c r="O1636" s="16"/>
      <c r="P1636" s="16"/>
      <c r="Q1636" s="16"/>
      <c r="R1636" s="16"/>
      <c r="S1636" s="16"/>
      <c r="T1636" s="16"/>
      <c r="U1636" s="16"/>
      <c r="V1636" s="16"/>
      <c r="W1636" s="16"/>
      <c r="X1636" s="16"/>
      <c r="Y1636" s="16"/>
      <c r="Z1636" s="16"/>
      <c r="AA1636" s="16"/>
      <c r="AB1636" s="16"/>
    </row>
    <row r="1637" spans="3:28" ht="12.75">
      <c r="C1637" s="16"/>
      <c r="D1637" s="16"/>
      <c r="E1637" s="16"/>
      <c r="F1637" s="16"/>
      <c r="G1637" s="16"/>
      <c r="H1637" s="16"/>
      <c r="I1637" s="16"/>
      <c r="J1637" s="16"/>
      <c r="K1637" s="16"/>
      <c r="L1637" s="16"/>
      <c r="M1637" s="16"/>
      <c r="N1637" s="16"/>
      <c r="O1637" s="16"/>
      <c r="P1637" s="16"/>
      <c r="Q1637" s="16"/>
      <c r="R1637" s="16"/>
      <c r="S1637" s="16"/>
      <c r="T1637" s="16"/>
      <c r="U1637" s="16"/>
      <c r="V1637" s="16"/>
      <c r="W1637" s="16"/>
      <c r="X1637" s="16"/>
      <c r="Y1637" s="16"/>
      <c r="Z1637" s="16"/>
      <c r="AA1637" s="16"/>
      <c r="AB1637" s="16"/>
    </row>
    <row r="1638" spans="3:28" ht="12.75">
      <c r="C1638" s="16"/>
      <c r="D1638" s="16"/>
      <c r="E1638" s="16"/>
      <c r="F1638" s="16"/>
      <c r="G1638" s="16"/>
      <c r="H1638" s="16"/>
      <c r="I1638" s="16"/>
      <c r="J1638" s="16"/>
      <c r="K1638" s="16"/>
      <c r="L1638" s="16"/>
      <c r="M1638" s="16"/>
      <c r="N1638" s="16"/>
      <c r="O1638" s="16"/>
      <c r="P1638" s="16"/>
      <c r="Q1638" s="16"/>
      <c r="R1638" s="16"/>
      <c r="S1638" s="16"/>
      <c r="T1638" s="16"/>
      <c r="U1638" s="16"/>
      <c r="V1638" s="16"/>
      <c r="W1638" s="16"/>
      <c r="X1638" s="16"/>
      <c r="Y1638" s="16"/>
      <c r="Z1638" s="16"/>
      <c r="AA1638" s="16"/>
      <c r="AB1638" s="16"/>
    </row>
    <row r="1639" spans="3:28" ht="12.75">
      <c r="C1639" s="16"/>
      <c r="D1639" s="16"/>
      <c r="E1639" s="16"/>
      <c r="F1639" s="16"/>
      <c r="G1639" s="16"/>
      <c r="H1639" s="16"/>
      <c r="I1639" s="16"/>
      <c r="J1639" s="16"/>
      <c r="K1639" s="16"/>
      <c r="L1639" s="16"/>
      <c r="M1639" s="16"/>
      <c r="N1639" s="16"/>
      <c r="O1639" s="16"/>
      <c r="P1639" s="16"/>
      <c r="Q1639" s="16"/>
      <c r="R1639" s="16"/>
      <c r="S1639" s="16"/>
      <c r="T1639" s="16"/>
      <c r="U1639" s="16"/>
      <c r="V1639" s="16"/>
      <c r="W1639" s="16"/>
      <c r="X1639" s="16"/>
      <c r="Y1639" s="16"/>
      <c r="Z1639" s="16"/>
      <c r="AA1639" s="16"/>
      <c r="AB1639" s="16"/>
    </row>
    <row r="1640" spans="3:28" ht="12.75">
      <c r="C1640" s="16"/>
      <c r="D1640" s="16"/>
      <c r="E1640" s="16"/>
      <c r="F1640" s="16"/>
      <c r="G1640" s="16"/>
      <c r="H1640" s="16"/>
      <c r="I1640" s="16"/>
      <c r="J1640" s="16"/>
      <c r="K1640" s="16"/>
      <c r="L1640" s="16"/>
      <c r="M1640" s="16"/>
      <c r="N1640" s="16"/>
      <c r="O1640" s="16"/>
      <c r="P1640" s="16"/>
      <c r="Q1640" s="16"/>
      <c r="R1640" s="16"/>
      <c r="S1640" s="16"/>
      <c r="T1640" s="16"/>
      <c r="U1640" s="16"/>
      <c r="V1640" s="16"/>
      <c r="W1640" s="16"/>
      <c r="X1640" s="16"/>
      <c r="Y1640" s="16"/>
      <c r="Z1640" s="16"/>
      <c r="AA1640" s="16"/>
      <c r="AB1640" s="16"/>
    </row>
    <row r="1641" spans="3:28" ht="12.75">
      <c r="C1641" s="16"/>
      <c r="D1641" s="16"/>
      <c r="E1641" s="16"/>
      <c r="F1641" s="16"/>
      <c r="G1641" s="16"/>
      <c r="H1641" s="16"/>
      <c r="I1641" s="16"/>
      <c r="J1641" s="16"/>
      <c r="K1641" s="16"/>
      <c r="L1641" s="16"/>
      <c r="M1641" s="16"/>
      <c r="N1641" s="16"/>
      <c r="O1641" s="16"/>
      <c r="P1641" s="16"/>
      <c r="Q1641" s="16"/>
      <c r="R1641" s="16"/>
      <c r="S1641" s="16"/>
      <c r="T1641" s="16"/>
      <c r="U1641" s="16"/>
      <c r="V1641" s="16"/>
      <c r="W1641" s="16"/>
      <c r="X1641" s="16"/>
      <c r="Y1641" s="16"/>
      <c r="Z1641" s="16"/>
      <c r="AA1641" s="16"/>
      <c r="AB1641" s="16"/>
    </row>
    <row r="1642" spans="3:28" ht="12.75">
      <c r="C1642" s="16"/>
      <c r="D1642" s="16"/>
      <c r="E1642" s="16"/>
      <c r="F1642" s="16"/>
      <c r="G1642" s="16"/>
      <c r="H1642" s="16"/>
      <c r="I1642" s="16"/>
      <c r="J1642" s="16"/>
      <c r="K1642" s="16"/>
      <c r="L1642" s="16"/>
      <c r="M1642" s="16"/>
      <c r="N1642" s="16"/>
      <c r="O1642" s="16"/>
      <c r="P1642" s="16"/>
      <c r="Q1642" s="16"/>
      <c r="R1642" s="16"/>
      <c r="S1642" s="16"/>
      <c r="T1642" s="16"/>
      <c r="U1642" s="16"/>
      <c r="V1642" s="16"/>
      <c r="W1642" s="16"/>
      <c r="X1642" s="16"/>
      <c r="Y1642" s="16"/>
      <c r="Z1642" s="16"/>
      <c r="AA1642" s="16"/>
      <c r="AB1642" s="16"/>
    </row>
    <row r="1643" spans="3:28" ht="12.75">
      <c r="C1643" s="16"/>
      <c r="D1643" s="16"/>
      <c r="E1643" s="16"/>
      <c r="F1643" s="16"/>
      <c r="G1643" s="16"/>
      <c r="H1643" s="16"/>
      <c r="I1643" s="16"/>
      <c r="J1643" s="16"/>
      <c r="K1643" s="16"/>
      <c r="L1643" s="16"/>
      <c r="M1643" s="16"/>
      <c r="N1643" s="16"/>
      <c r="O1643" s="16"/>
      <c r="P1643" s="16"/>
      <c r="Q1643" s="16"/>
      <c r="R1643" s="16"/>
      <c r="S1643" s="16"/>
      <c r="T1643" s="16"/>
      <c r="U1643" s="16"/>
      <c r="V1643" s="16"/>
      <c r="W1643" s="16"/>
      <c r="X1643" s="16"/>
      <c r="Y1643" s="16"/>
      <c r="Z1643" s="16"/>
      <c r="AA1643" s="16"/>
      <c r="AB1643" s="16"/>
    </row>
    <row r="1644" spans="3:28" ht="12.75">
      <c r="C1644" s="16"/>
      <c r="D1644" s="16"/>
      <c r="E1644" s="16"/>
      <c r="F1644" s="16"/>
      <c r="G1644" s="16"/>
      <c r="H1644" s="16"/>
      <c r="I1644" s="16"/>
      <c r="J1644" s="16"/>
      <c r="K1644" s="16"/>
      <c r="L1644" s="16"/>
      <c r="M1644" s="16"/>
      <c r="N1644" s="16"/>
      <c r="O1644" s="16"/>
      <c r="P1644" s="16"/>
      <c r="Q1644" s="16"/>
      <c r="R1644" s="16"/>
      <c r="S1644" s="16"/>
      <c r="T1644" s="16"/>
      <c r="U1644" s="16"/>
      <c r="V1644" s="16"/>
      <c r="W1644" s="16"/>
      <c r="X1644" s="16"/>
      <c r="Y1644" s="16"/>
      <c r="Z1644" s="16"/>
      <c r="AA1644" s="16"/>
      <c r="AB1644" s="16"/>
    </row>
    <row r="1645" spans="3:28" ht="12.75">
      <c r="C1645" s="16"/>
      <c r="D1645" s="16"/>
      <c r="E1645" s="16"/>
      <c r="F1645" s="16"/>
      <c r="G1645" s="16"/>
      <c r="H1645" s="16"/>
      <c r="I1645" s="16"/>
      <c r="J1645" s="16"/>
      <c r="K1645" s="16"/>
      <c r="L1645" s="16"/>
      <c r="M1645" s="16"/>
      <c r="N1645" s="16"/>
      <c r="O1645" s="16"/>
      <c r="P1645" s="16"/>
      <c r="Q1645" s="16"/>
      <c r="R1645" s="16"/>
      <c r="S1645" s="16"/>
      <c r="T1645" s="16"/>
      <c r="U1645" s="16"/>
      <c r="V1645" s="16"/>
      <c r="W1645" s="16"/>
      <c r="X1645" s="16"/>
      <c r="Y1645" s="16"/>
      <c r="Z1645" s="16"/>
      <c r="AA1645" s="16"/>
      <c r="AB1645" s="16"/>
    </row>
    <row r="1646" spans="3:28" ht="12.75">
      <c r="C1646" s="16"/>
      <c r="D1646" s="16"/>
      <c r="E1646" s="16"/>
      <c r="F1646" s="16"/>
      <c r="G1646" s="16"/>
      <c r="H1646" s="16"/>
      <c r="I1646" s="16"/>
      <c r="J1646" s="16"/>
      <c r="K1646" s="16"/>
      <c r="L1646" s="16"/>
      <c r="M1646" s="16"/>
      <c r="N1646" s="16"/>
      <c r="O1646" s="16"/>
      <c r="P1646" s="16"/>
      <c r="Q1646" s="16"/>
      <c r="R1646" s="16"/>
      <c r="S1646" s="16"/>
      <c r="T1646" s="16"/>
      <c r="U1646" s="16"/>
      <c r="V1646" s="16"/>
      <c r="W1646" s="16"/>
      <c r="X1646" s="16"/>
      <c r="Y1646" s="16"/>
      <c r="Z1646" s="16"/>
      <c r="AA1646" s="16"/>
      <c r="AB1646" s="16"/>
    </row>
    <row r="1647" spans="3:28" ht="12.75">
      <c r="C1647" s="16"/>
      <c r="D1647" s="16"/>
      <c r="E1647" s="16"/>
      <c r="F1647" s="16"/>
      <c r="G1647" s="16"/>
      <c r="H1647" s="16"/>
      <c r="I1647" s="16"/>
      <c r="J1647" s="16"/>
      <c r="K1647" s="16"/>
      <c r="L1647" s="16"/>
      <c r="M1647" s="16"/>
      <c r="N1647" s="16"/>
      <c r="O1647" s="16"/>
      <c r="P1647" s="16"/>
      <c r="Q1647" s="16"/>
      <c r="R1647" s="16"/>
      <c r="S1647" s="16"/>
      <c r="T1647" s="16"/>
      <c r="U1647" s="16"/>
      <c r="V1647" s="16"/>
      <c r="W1647" s="16"/>
      <c r="X1647" s="16"/>
      <c r="Y1647" s="16"/>
      <c r="Z1647" s="16"/>
      <c r="AA1647" s="16"/>
      <c r="AB1647" s="16"/>
    </row>
    <row r="1648" spans="3:28" ht="12.75">
      <c r="C1648" s="16"/>
      <c r="D1648" s="16"/>
      <c r="E1648" s="16"/>
      <c r="F1648" s="16"/>
      <c r="G1648" s="16"/>
      <c r="H1648" s="16"/>
      <c r="I1648" s="16"/>
      <c r="J1648" s="16"/>
      <c r="K1648" s="16"/>
      <c r="L1648" s="16"/>
      <c r="M1648" s="16"/>
      <c r="N1648" s="16"/>
      <c r="O1648" s="16"/>
      <c r="P1648" s="16"/>
      <c r="Q1648" s="16"/>
      <c r="R1648" s="16"/>
      <c r="S1648" s="16"/>
      <c r="T1648" s="16"/>
      <c r="U1648" s="16"/>
      <c r="V1648" s="16"/>
      <c r="W1648" s="16"/>
      <c r="X1648" s="16"/>
      <c r="Y1648" s="16"/>
      <c r="Z1648" s="16"/>
      <c r="AA1648" s="16"/>
      <c r="AB1648" s="16"/>
    </row>
    <row r="1649" spans="3:28" ht="12.75">
      <c r="C1649" s="16"/>
      <c r="D1649" s="16"/>
      <c r="E1649" s="16"/>
      <c r="F1649" s="16"/>
      <c r="G1649" s="16"/>
      <c r="H1649" s="16"/>
      <c r="I1649" s="16"/>
      <c r="J1649" s="16"/>
      <c r="K1649" s="16"/>
      <c r="L1649" s="16"/>
      <c r="M1649" s="16"/>
      <c r="N1649" s="16"/>
      <c r="O1649" s="16"/>
      <c r="P1649" s="16"/>
      <c r="Q1649" s="16"/>
      <c r="R1649" s="16"/>
      <c r="S1649" s="16"/>
      <c r="T1649" s="16"/>
      <c r="U1649" s="16"/>
      <c r="V1649" s="16"/>
      <c r="W1649" s="16"/>
      <c r="X1649" s="16"/>
      <c r="Y1649" s="16"/>
      <c r="Z1649" s="16"/>
      <c r="AA1649" s="16"/>
      <c r="AB1649" s="16"/>
    </row>
    <row r="1650" spans="3:28" ht="12.75">
      <c r="C1650" s="16"/>
      <c r="D1650" s="16"/>
      <c r="E1650" s="16"/>
      <c r="F1650" s="16"/>
      <c r="G1650" s="16"/>
      <c r="H1650" s="16"/>
      <c r="I1650" s="16"/>
      <c r="J1650" s="16"/>
      <c r="K1650" s="16"/>
      <c r="L1650" s="16"/>
      <c r="M1650" s="16"/>
      <c r="N1650" s="16"/>
      <c r="O1650" s="16"/>
      <c r="P1650" s="16"/>
      <c r="Q1650" s="16"/>
      <c r="R1650" s="16"/>
      <c r="S1650" s="16"/>
      <c r="T1650" s="16"/>
      <c r="U1650" s="16"/>
      <c r="V1650" s="16"/>
      <c r="W1650" s="16"/>
      <c r="X1650" s="16"/>
      <c r="Y1650" s="16"/>
      <c r="Z1650" s="16"/>
      <c r="AA1650" s="16"/>
      <c r="AB1650" s="16"/>
    </row>
    <row r="1651" spans="3:28" ht="12.75">
      <c r="C1651" s="16"/>
      <c r="D1651" s="16"/>
      <c r="E1651" s="16"/>
      <c r="F1651" s="16"/>
      <c r="G1651" s="16"/>
      <c r="H1651" s="16"/>
      <c r="I1651" s="16"/>
      <c r="J1651" s="16"/>
      <c r="K1651" s="16"/>
      <c r="L1651" s="16"/>
      <c r="M1651" s="16"/>
      <c r="N1651" s="16"/>
      <c r="O1651" s="16"/>
      <c r="P1651" s="16"/>
      <c r="Q1651" s="16"/>
      <c r="R1651" s="16"/>
      <c r="S1651" s="16"/>
      <c r="T1651" s="16"/>
      <c r="U1651" s="16"/>
      <c r="V1651" s="16"/>
      <c r="W1651" s="16"/>
      <c r="X1651" s="16"/>
      <c r="Y1651" s="16"/>
      <c r="Z1651" s="16"/>
      <c r="AA1651" s="16"/>
      <c r="AB1651" s="16"/>
    </row>
    <row r="1652" spans="3:28" ht="12.75">
      <c r="C1652" s="16"/>
      <c r="D1652" s="16"/>
      <c r="E1652" s="16"/>
      <c r="F1652" s="16"/>
      <c r="G1652" s="16"/>
      <c r="H1652" s="16"/>
      <c r="I1652" s="16"/>
      <c r="J1652" s="16"/>
      <c r="K1652" s="16"/>
      <c r="L1652" s="16"/>
      <c r="M1652" s="16"/>
      <c r="N1652" s="16"/>
      <c r="O1652" s="16"/>
      <c r="P1652" s="16"/>
      <c r="Q1652" s="16"/>
      <c r="R1652" s="16"/>
      <c r="S1652" s="16"/>
      <c r="T1652" s="16"/>
      <c r="U1652" s="16"/>
      <c r="V1652" s="16"/>
      <c r="W1652" s="16"/>
      <c r="X1652" s="16"/>
      <c r="Y1652" s="16"/>
      <c r="Z1652" s="16"/>
      <c r="AA1652" s="16"/>
      <c r="AB1652" s="16"/>
    </row>
    <row r="1653" spans="3:28" ht="12.75">
      <c r="C1653" s="16"/>
      <c r="D1653" s="16"/>
      <c r="E1653" s="16"/>
      <c r="F1653" s="16"/>
      <c r="G1653" s="16"/>
      <c r="H1653" s="16"/>
      <c r="I1653" s="16"/>
      <c r="J1653" s="16"/>
      <c r="K1653" s="16"/>
      <c r="L1653" s="16"/>
      <c r="M1653" s="16"/>
      <c r="N1653" s="16"/>
      <c r="O1653" s="16"/>
      <c r="P1653" s="16"/>
      <c r="Q1653" s="16"/>
      <c r="R1653" s="16"/>
      <c r="S1653" s="16"/>
      <c r="T1653" s="16"/>
      <c r="U1653" s="16"/>
      <c r="V1653" s="16"/>
      <c r="W1653" s="16"/>
      <c r="X1653" s="16"/>
      <c r="Y1653" s="16"/>
      <c r="Z1653" s="16"/>
      <c r="AA1653" s="16"/>
      <c r="AB1653" s="16"/>
    </row>
    <row r="1654" spans="3:28" ht="12.75">
      <c r="C1654" s="16"/>
      <c r="D1654" s="16"/>
      <c r="E1654" s="16"/>
      <c r="F1654" s="16"/>
      <c r="G1654" s="16"/>
      <c r="H1654" s="16"/>
      <c r="I1654" s="16"/>
      <c r="J1654" s="16"/>
      <c r="K1654" s="16"/>
      <c r="L1654" s="16"/>
      <c r="M1654" s="16"/>
      <c r="N1654" s="16"/>
      <c r="O1654" s="16"/>
      <c r="P1654" s="16"/>
      <c r="Q1654" s="16"/>
      <c r="R1654" s="16"/>
      <c r="S1654" s="16"/>
      <c r="T1654" s="16"/>
      <c r="U1654" s="16"/>
      <c r="V1654" s="16"/>
      <c r="W1654" s="16"/>
      <c r="X1654" s="16"/>
      <c r="Y1654" s="16"/>
      <c r="Z1654" s="16"/>
      <c r="AA1654" s="16"/>
      <c r="AB1654" s="16"/>
    </row>
    <row r="1655" spans="3:28" ht="12.75">
      <c r="C1655" s="16"/>
      <c r="D1655" s="16"/>
      <c r="E1655" s="16"/>
      <c r="F1655" s="16"/>
      <c r="G1655" s="16"/>
      <c r="H1655" s="16"/>
      <c r="I1655" s="16"/>
      <c r="J1655" s="16"/>
      <c r="K1655" s="16"/>
      <c r="L1655" s="16"/>
      <c r="M1655" s="16"/>
      <c r="N1655" s="16"/>
      <c r="O1655" s="16"/>
      <c r="P1655" s="16"/>
      <c r="Q1655" s="16"/>
      <c r="R1655" s="16"/>
      <c r="S1655" s="16"/>
      <c r="T1655" s="16"/>
      <c r="U1655" s="16"/>
      <c r="V1655" s="16"/>
      <c r="W1655" s="16"/>
      <c r="X1655" s="16"/>
      <c r="Y1655" s="16"/>
      <c r="Z1655" s="16"/>
      <c r="AA1655" s="16"/>
      <c r="AB1655" s="16"/>
    </row>
    <row r="1656" spans="3:28" ht="12.75">
      <c r="C1656" s="16"/>
      <c r="D1656" s="16"/>
      <c r="E1656" s="16"/>
      <c r="F1656" s="16"/>
      <c r="G1656" s="16"/>
      <c r="H1656" s="16"/>
      <c r="I1656" s="16"/>
      <c r="J1656" s="16"/>
      <c r="K1656" s="16"/>
      <c r="L1656" s="16"/>
      <c r="M1656" s="16"/>
      <c r="N1656" s="16"/>
      <c r="O1656" s="16"/>
      <c r="P1656" s="16"/>
      <c r="Q1656" s="16"/>
      <c r="R1656" s="16"/>
      <c r="S1656" s="16"/>
      <c r="T1656" s="16"/>
      <c r="U1656" s="16"/>
      <c r="V1656" s="16"/>
      <c r="W1656" s="16"/>
      <c r="X1656" s="16"/>
      <c r="Y1656" s="16"/>
      <c r="Z1656" s="16"/>
      <c r="AA1656" s="16"/>
      <c r="AB1656" s="16"/>
    </row>
    <row r="1657" spans="3:28" ht="12.75">
      <c r="C1657" s="16"/>
      <c r="D1657" s="16"/>
      <c r="E1657" s="16"/>
      <c r="F1657" s="16"/>
      <c r="G1657" s="16"/>
      <c r="H1657" s="16"/>
      <c r="I1657" s="16"/>
      <c r="J1657" s="16"/>
      <c r="K1657" s="16"/>
      <c r="L1657" s="16"/>
      <c r="M1657" s="16"/>
      <c r="N1657" s="16"/>
      <c r="O1657" s="16"/>
      <c r="P1657" s="16"/>
      <c r="Q1657" s="16"/>
      <c r="R1657" s="16"/>
      <c r="S1657" s="16"/>
      <c r="T1657" s="16"/>
      <c r="U1657" s="16"/>
      <c r="V1657" s="16"/>
      <c r="W1657" s="16"/>
      <c r="X1657" s="16"/>
      <c r="Y1657" s="16"/>
      <c r="Z1657" s="16"/>
      <c r="AA1657" s="16"/>
      <c r="AB1657" s="16"/>
    </row>
    <row r="1658" spans="3:28" ht="12.75">
      <c r="C1658" s="16"/>
      <c r="D1658" s="16"/>
      <c r="E1658" s="16"/>
      <c r="F1658" s="16"/>
      <c r="G1658" s="16"/>
      <c r="H1658" s="16"/>
      <c r="I1658" s="16"/>
      <c r="J1658" s="16"/>
      <c r="K1658" s="16"/>
      <c r="L1658" s="16"/>
      <c r="M1658" s="16"/>
      <c r="N1658" s="16"/>
      <c r="O1658" s="16"/>
      <c r="P1658" s="16"/>
      <c r="Q1658" s="16"/>
      <c r="R1658" s="16"/>
      <c r="S1658" s="16"/>
      <c r="T1658" s="16"/>
      <c r="U1658" s="16"/>
      <c r="V1658" s="16"/>
      <c r="W1658" s="16"/>
      <c r="X1658" s="16"/>
      <c r="Y1658" s="16"/>
      <c r="Z1658" s="16"/>
      <c r="AA1658" s="16"/>
      <c r="AB1658" s="16"/>
    </row>
    <row r="1659" spans="3:28" ht="12.75">
      <c r="C1659" s="16"/>
      <c r="D1659" s="16"/>
      <c r="E1659" s="16"/>
      <c r="F1659" s="16"/>
      <c r="G1659" s="16"/>
      <c r="H1659" s="16"/>
      <c r="I1659" s="16"/>
      <c r="J1659" s="16"/>
      <c r="K1659" s="16"/>
      <c r="L1659" s="16"/>
      <c r="M1659" s="16"/>
      <c r="N1659" s="16"/>
      <c r="O1659" s="16"/>
      <c r="P1659" s="16"/>
      <c r="Q1659" s="16"/>
      <c r="R1659" s="16"/>
      <c r="S1659" s="16"/>
      <c r="T1659" s="16"/>
      <c r="U1659" s="16"/>
      <c r="V1659" s="16"/>
      <c r="W1659" s="16"/>
      <c r="X1659" s="16"/>
      <c r="Y1659" s="16"/>
      <c r="Z1659" s="16"/>
      <c r="AA1659" s="16"/>
      <c r="AB1659" s="16"/>
    </row>
    <row r="1660" spans="3:28" ht="12.75">
      <c r="C1660" s="16"/>
      <c r="D1660" s="16"/>
      <c r="E1660" s="16"/>
      <c r="F1660" s="16"/>
      <c r="G1660" s="16"/>
      <c r="H1660" s="16"/>
      <c r="I1660" s="16"/>
      <c r="J1660" s="16"/>
      <c r="K1660" s="16"/>
      <c r="L1660" s="16"/>
      <c r="M1660" s="16"/>
      <c r="N1660" s="16"/>
      <c r="O1660" s="16"/>
      <c r="P1660" s="16"/>
      <c r="Q1660" s="16"/>
      <c r="R1660" s="16"/>
      <c r="S1660" s="16"/>
      <c r="T1660" s="16"/>
      <c r="U1660" s="16"/>
      <c r="V1660" s="16"/>
      <c r="W1660" s="16"/>
      <c r="X1660" s="16"/>
      <c r="Y1660" s="16"/>
      <c r="Z1660" s="16"/>
      <c r="AA1660" s="16"/>
      <c r="AB1660" s="16"/>
    </row>
    <row r="1661" spans="3:28" ht="12.75">
      <c r="C1661" s="16"/>
      <c r="D1661" s="16"/>
      <c r="E1661" s="16"/>
      <c r="F1661" s="16"/>
      <c r="G1661" s="16"/>
      <c r="H1661" s="16"/>
      <c r="I1661" s="16"/>
      <c r="J1661" s="16"/>
      <c r="K1661" s="16"/>
      <c r="L1661" s="16"/>
      <c r="M1661" s="16"/>
      <c r="N1661" s="16"/>
      <c r="O1661" s="16"/>
      <c r="P1661" s="16"/>
      <c r="Q1661" s="16"/>
      <c r="R1661" s="16"/>
      <c r="S1661" s="16"/>
      <c r="T1661" s="16"/>
      <c r="U1661" s="16"/>
      <c r="V1661" s="16"/>
      <c r="W1661" s="16"/>
      <c r="X1661" s="16"/>
      <c r="Y1661" s="16"/>
      <c r="Z1661" s="16"/>
      <c r="AA1661" s="16"/>
      <c r="AB1661" s="16"/>
    </row>
    <row r="1662" spans="3:28" ht="12.75">
      <c r="C1662" s="16"/>
      <c r="D1662" s="16"/>
      <c r="E1662" s="16"/>
      <c r="F1662" s="16"/>
      <c r="G1662" s="16"/>
      <c r="H1662" s="16"/>
      <c r="I1662" s="16"/>
      <c r="J1662" s="16"/>
      <c r="K1662" s="16"/>
      <c r="L1662" s="16"/>
      <c r="M1662" s="16"/>
      <c r="N1662" s="16"/>
      <c r="O1662" s="16"/>
      <c r="P1662" s="16"/>
      <c r="Q1662" s="16"/>
      <c r="R1662" s="16"/>
      <c r="S1662" s="16"/>
      <c r="T1662" s="16"/>
      <c r="U1662" s="16"/>
      <c r="V1662" s="16"/>
      <c r="W1662" s="16"/>
      <c r="X1662" s="16"/>
      <c r="Y1662" s="16"/>
      <c r="Z1662" s="16"/>
      <c r="AA1662" s="16"/>
      <c r="AB1662" s="16"/>
    </row>
    <row r="1663" spans="3:28" ht="12.75">
      <c r="C1663" s="16"/>
      <c r="D1663" s="16"/>
      <c r="E1663" s="16"/>
      <c r="F1663" s="16"/>
      <c r="G1663" s="16"/>
      <c r="H1663" s="16"/>
      <c r="I1663" s="16"/>
      <c r="J1663" s="16"/>
      <c r="K1663" s="16"/>
      <c r="L1663" s="16"/>
      <c r="M1663" s="16"/>
      <c r="N1663" s="16"/>
      <c r="O1663" s="16"/>
      <c r="P1663" s="16"/>
      <c r="Q1663" s="16"/>
      <c r="R1663" s="16"/>
      <c r="S1663" s="16"/>
      <c r="T1663" s="16"/>
      <c r="U1663" s="16"/>
      <c r="V1663" s="16"/>
      <c r="W1663" s="16"/>
      <c r="X1663" s="16"/>
      <c r="Y1663" s="16"/>
      <c r="Z1663" s="16"/>
      <c r="AA1663" s="16"/>
      <c r="AB1663" s="16"/>
    </row>
    <row r="1664" spans="3:28" ht="12.75">
      <c r="C1664" s="16"/>
      <c r="D1664" s="16"/>
      <c r="E1664" s="16"/>
      <c r="F1664" s="16"/>
      <c r="G1664" s="16"/>
      <c r="H1664" s="16"/>
      <c r="I1664" s="16"/>
      <c r="J1664" s="16"/>
      <c r="K1664" s="16"/>
      <c r="L1664" s="16"/>
      <c r="M1664" s="16"/>
      <c r="N1664" s="16"/>
      <c r="O1664" s="16"/>
      <c r="P1664" s="16"/>
      <c r="Q1664" s="16"/>
      <c r="R1664" s="16"/>
      <c r="S1664" s="16"/>
      <c r="T1664" s="16"/>
      <c r="U1664" s="16"/>
      <c r="V1664" s="16"/>
      <c r="W1664" s="16"/>
      <c r="X1664" s="16"/>
      <c r="Y1664" s="16"/>
      <c r="Z1664" s="16"/>
      <c r="AA1664" s="16"/>
      <c r="AB1664" s="16"/>
    </row>
    <row r="1665" spans="3:28" ht="12.75">
      <c r="C1665" s="16"/>
      <c r="D1665" s="16"/>
      <c r="E1665" s="16"/>
      <c r="F1665" s="16"/>
      <c r="G1665" s="16"/>
      <c r="H1665" s="16"/>
      <c r="I1665" s="16"/>
      <c r="J1665" s="16"/>
      <c r="K1665" s="16"/>
      <c r="L1665" s="16"/>
      <c r="M1665" s="16"/>
      <c r="N1665" s="16"/>
      <c r="O1665" s="16"/>
      <c r="P1665" s="16"/>
      <c r="Q1665" s="16"/>
      <c r="R1665" s="16"/>
      <c r="S1665" s="16"/>
      <c r="T1665" s="16"/>
      <c r="U1665" s="16"/>
      <c r="V1665" s="16"/>
      <c r="W1665" s="16"/>
      <c r="X1665" s="16"/>
      <c r="Y1665" s="16"/>
      <c r="Z1665" s="16"/>
      <c r="AA1665" s="16"/>
      <c r="AB1665" s="16"/>
    </row>
    <row r="1666" spans="3:28" ht="12.75">
      <c r="C1666" s="16"/>
      <c r="D1666" s="16"/>
      <c r="E1666" s="16"/>
      <c r="F1666" s="16"/>
      <c r="G1666" s="16"/>
      <c r="H1666" s="16"/>
      <c r="I1666" s="16"/>
      <c r="J1666" s="16"/>
      <c r="K1666" s="16"/>
      <c r="L1666" s="16"/>
      <c r="M1666" s="16"/>
      <c r="N1666" s="16"/>
      <c r="O1666" s="16"/>
      <c r="P1666" s="16"/>
      <c r="Q1666" s="16"/>
      <c r="R1666" s="16"/>
      <c r="S1666" s="16"/>
      <c r="T1666" s="16"/>
      <c r="U1666" s="16"/>
      <c r="V1666" s="16"/>
      <c r="W1666" s="16"/>
      <c r="X1666" s="16"/>
      <c r="Y1666" s="16"/>
      <c r="Z1666" s="16"/>
      <c r="AA1666" s="16"/>
      <c r="AB1666" s="16"/>
    </row>
    <row r="1667" spans="3:28" ht="12.75">
      <c r="C1667" s="16"/>
      <c r="D1667" s="16"/>
      <c r="E1667" s="16"/>
      <c r="F1667" s="16"/>
      <c r="G1667" s="16"/>
      <c r="H1667" s="16"/>
      <c r="I1667" s="16"/>
      <c r="J1667" s="16"/>
      <c r="K1667" s="16"/>
      <c r="L1667" s="16"/>
      <c r="M1667" s="16"/>
      <c r="N1667" s="16"/>
      <c r="O1667" s="16"/>
      <c r="P1667" s="16"/>
      <c r="Q1667" s="16"/>
      <c r="R1667" s="16"/>
      <c r="S1667" s="16"/>
      <c r="T1667" s="16"/>
      <c r="U1667" s="16"/>
      <c r="V1667" s="16"/>
      <c r="W1667" s="16"/>
      <c r="X1667" s="16"/>
      <c r="Y1667" s="16"/>
      <c r="Z1667" s="16"/>
      <c r="AA1667" s="16"/>
      <c r="AB1667" s="16"/>
    </row>
    <row r="1668" spans="3:28" ht="12.75">
      <c r="C1668" s="16"/>
      <c r="D1668" s="16"/>
      <c r="E1668" s="16"/>
      <c r="F1668" s="16"/>
      <c r="G1668" s="16"/>
      <c r="H1668" s="16"/>
      <c r="I1668" s="16"/>
      <c r="J1668" s="16"/>
      <c r="K1668" s="16"/>
      <c r="L1668" s="16"/>
      <c r="M1668" s="16"/>
      <c r="N1668" s="16"/>
      <c r="O1668" s="16"/>
      <c r="P1668" s="16"/>
      <c r="Q1668" s="16"/>
      <c r="R1668" s="16"/>
      <c r="S1668" s="16"/>
      <c r="T1668" s="16"/>
      <c r="U1668" s="16"/>
      <c r="V1668" s="16"/>
      <c r="W1668" s="16"/>
      <c r="X1668" s="16"/>
      <c r="Y1668" s="16"/>
      <c r="Z1668" s="16"/>
      <c r="AA1668" s="16"/>
      <c r="AB1668" s="16"/>
    </row>
    <row r="1669" spans="3:28" ht="12.75">
      <c r="C1669" s="16"/>
      <c r="D1669" s="16"/>
      <c r="E1669" s="16"/>
      <c r="F1669" s="16"/>
      <c r="G1669" s="16"/>
      <c r="H1669" s="16"/>
      <c r="I1669" s="16"/>
      <c r="J1669" s="16"/>
      <c r="K1669" s="16"/>
      <c r="L1669" s="16"/>
      <c r="M1669" s="16"/>
      <c r="N1669" s="16"/>
      <c r="O1669" s="16"/>
      <c r="P1669" s="16"/>
      <c r="Q1669" s="16"/>
      <c r="R1669" s="16"/>
      <c r="S1669" s="16"/>
      <c r="T1669" s="16"/>
      <c r="U1669" s="16"/>
      <c r="V1669" s="16"/>
      <c r="W1669" s="16"/>
      <c r="X1669" s="16"/>
      <c r="Y1669" s="16"/>
      <c r="Z1669" s="16"/>
      <c r="AA1669" s="16"/>
      <c r="AB1669" s="16"/>
    </row>
    <row r="1670" spans="3:28" ht="12.75">
      <c r="C1670" s="16"/>
      <c r="D1670" s="16"/>
      <c r="E1670" s="16"/>
      <c r="F1670" s="16"/>
      <c r="G1670" s="16"/>
      <c r="H1670" s="16"/>
      <c r="I1670" s="16"/>
      <c r="J1670" s="16"/>
      <c r="K1670" s="16"/>
      <c r="L1670" s="16"/>
      <c r="M1670" s="16"/>
      <c r="N1670" s="16"/>
      <c r="O1670" s="16"/>
      <c r="P1670" s="16"/>
      <c r="Q1670" s="16"/>
      <c r="R1670" s="16"/>
      <c r="S1670" s="16"/>
      <c r="T1670" s="16"/>
      <c r="U1670" s="16"/>
      <c r="V1670" s="16"/>
      <c r="W1670" s="16"/>
      <c r="X1670" s="16"/>
      <c r="Y1670" s="16"/>
      <c r="Z1670" s="16"/>
      <c r="AA1670" s="16"/>
      <c r="AB1670" s="16"/>
    </row>
    <row r="1671" spans="3:28" ht="12.75">
      <c r="C1671" s="16"/>
      <c r="D1671" s="16"/>
      <c r="E1671" s="16"/>
      <c r="F1671" s="16"/>
      <c r="G1671" s="16"/>
      <c r="H1671" s="16"/>
      <c r="I1671" s="16"/>
      <c r="J1671" s="16"/>
      <c r="K1671" s="16"/>
      <c r="L1671" s="16"/>
      <c r="M1671" s="16"/>
      <c r="N1671" s="16"/>
      <c r="O1671" s="16"/>
      <c r="P1671" s="16"/>
      <c r="Q1671" s="16"/>
      <c r="R1671" s="16"/>
      <c r="S1671" s="16"/>
      <c r="T1671" s="16"/>
      <c r="U1671" s="16"/>
      <c r="V1671" s="16"/>
      <c r="W1671" s="16"/>
      <c r="X1671" s="16"/>
      <c r="Y1671" s="16"/>
      <c r="Z1671" s="16"/>
      <c r="AA1671" s="16"/>
      <c r="AB1671" s="16"/>
    </row>
    <row r="1672" spans="3:28" ht="12.75">
      <c r="C1672" s="16"/>
      <c r="D1672" s="16"/>
      <c r="E1672" s="16"/>
      <c r="F1672" s="16"/>
      <c r="G1672" s="16"/>
      <c r="H1672" s="16"/>
      <c r="I1672" s="16"/>
      <c r="J1672" s="16"/>
      <c r="K1672" s="16"/>
      <c r="L1672" s="16"/>
      <c r="M1672" s="16"/>
      <c r="N1672" s="16"/>
      <c r="O1672" s="16"/>
      <c r="P1672" s="16"/>
      <c r="Q1672" s="16"/>
      <c r="R1672" s="16"/>
      <c r="S1672" s="16"/>
      <c r="T1672" s="16"/>
      <c r="U1672" s="16"/>
      <c r="V1672" s="16"/>
      <c r="W1672" s="16"/>
      <c r="X1672" s="16"/>
      <c r="Y1672" s="16"/>
      <c r="Z1672" s="16"/>
      <c r="AA1672" s="16"/>
      <c r="AB1672" s="16"/>
    </row>
    <row r="1673" spans="3:28" ht="12.75">
      <c r="C1673" s="16"/>
      <c r="D1673" s="16"/>
      <c r="E1673" s="16"/>
      <c r="F1673" s="16"/>
      <c r="G1673" s="16"/>
      <c r="H1673" s="16"/>
      <c r="I1673" s="16"/>
      <c r="J1673" s="16"/>
      <c r="K1673" s="16"/>
      <c r="L1673" s="16"/>
      <c r="M1673" s="16"/>
      <c r="N1673" s="16"/>
      <c r="O1673" s="16"/>
      <c r="P1673" s="16"/>
      <c r="Q1673" s="16"/>
      <c r="R1673" s="16"/>
      <c r="S1673" s="16"/>
      <c r="T1673" s="16"/>
      <c r="U1673" s="16"/>
      <c r="V1673" s="16"/>
      <c r="W1673" s="16"/>
      <c r="X1673" s="16"/>
      <c r="Y1673" s="16"/>
      <c r="Z1673" s="16"/>
      <c r="AA1673" s="16"/>
      <c r="AB1673" s="16"/>
    </row>
    <row r="1674" spans="3:28" ht="12.75">
      <c r="C1674" s="16"/>
      <c r="D1674" s="16"/>
      <c r="E1674" s="16"/>
      <c r="F1674" s="16"/>
      <c r="G1674" s="16"/>
      <c r="H1674" s="16"/>
      <c r="I1674" s="16"/>
      <c r="J1674" s="16"/>
      <c r="K1674" s="16"/>
      <c r="L1674" s="16"/>
      <c r="M1674" s="16"/>
      <c r="N1674" s="16"/>
      <c r="O1674" s="16"/>
      <c r="P1674" s="16"/>
      <c r="Q1674" s="16"/>
      <c r="R1674" s="16"/>
      <c r="S1674" s="16"/>
      <c r="T1674" s="16"/>
      <c r="U1674" s="16"/>
      <c r="V1674" s="16"/>
      <c r="W1674" s="16"/>
      <c r="X1674" s="16"/>
      <c r="Y1674" s="16"/>
      <c r="Z1674" s="16"/>
      <c r="AA1674" s="16"/>
      <c r="AB1674" s="16"/>
    </row>
    <row r="1675" spans="3:28" ht="12.75">
      <c r="C1675" s="16"/>
      <c r="D1675" s="16"/>
      <c r="E1675" s="16"/>
      <c r="F1675" s="16"/>
      <c r="G1675" s="16"/>
      <c r="H1675" s="16"/>
      <c r="I1675" s="16"/>
      <c r="J1675" s="16"/>
      <c r="K1675" s="16"/>
      <c r="L1675" s="16"/>
      <c r="M1675" s="16"/>
      <c r="N1675" s="16"/>
      <c r="O1675" s="16"/>
      <c r="P1675" s="16"/>
      <c r="Q1675" s="16"/>
      <c r="R1675" s="16"/>
      <c r="S1675" s="16"/>
      <c r="T1675" s="16"/>
      <c r="U1675" s="16"/>
      <c r="V1675" s="16"/>
      <c r="W1675" s="16"/>
      <c r="X1675" s="16"/>
      <c r="Y1675" s="16"/>
      <c r="Z1675" s="16"/>
      <c r="AA1675" s="16"/>
      <c r="AB1675" s="16"/>
    </row>
    <row r="1676" spans="3:28" ht="12.75">
      <c r="C1676" s="16"/>
      <c r="D1676" s="16"/>
      <c r="E1676" s="16"/>
      <c r="F1676" s="16"/>
      <c r="G1676" s="16"/>
      <c r="H1676" s="16"/>
      <c r="I1676" s="16"/>
      <c r="J1676" s="16"/>
      <c r="K1676" s="16"/>
      <c r="L1676" s="16"/>
      <c r="M1676" s="16"/>
      <c r="N1676" s="16"/>
      <c r="O1676" s="16"/>
      <c r="P1676" s="16"/>
      <c r="Q1676" s="16"/>
      <c r="R1676" s="16"/>
      <c r="S1676" s="16"/>
      <c r="T1676" s="16"/>
      <c r="U1676" s="16"/>
      <c r="V1676" s="16"/>
      <c r="W1676" s="16"/>
      <c r="X1676" s="16"/>
      <c r="Y1676" s="16"/>
      <c r="Z1676" s="16"/>
      <c r="AA1676" s="16"/>
      <c r="AB1676" s="16"/>
    </row>
    <row r="1677" spans="3:28" ht="12.75">
      <c r="C1677" s="16"/>
      <c r="D1677" s="16"/>
      <c r="E1677" s="16"/>
      <c r="F1677" s="16"/>
      <c r="G1677" s="16"/>
      <c r="H1677" s="16"/>
      <c r="I1677" s="16"/>
      <c r="J1677" s="16"/>
      <c r="K1677" s="16"/>
      <c r="L1677" s="16"/>
      <c r="M1677" s="16"/>
      <c r="N1677" s="16"/>
      <c r="O1677" s="16"/>
      <c r="P1677" s="16"/>
      <c r="Q1677" s="16"/>
      <c r="R1677" s="16"/>
      <c r="S1677" s="16"/>
      <c r="T1677" s="16"/>
      <c r="U1677" s="16"/>
      <c r="V1677" s="16"/>
      <c r="W1677" s="16"/>
      <c r="X1677" s="16"/>
      <c r="Y1677" s="16"/>
      <c r="Z1677" s="16"/>
      <c r="AA1677" s="16"/>
      <c r="AB1677" s="16"/>
    </row>
    <row r="1678" spans="3:28" ht="12.75">
      <c r="C1678" s="16"/>
      <c r="D1678" s="16"/>
      <c r="E1678" s="16"/>
      <c r="F1678" s="16"/>
      <c r="G1678" s="16"/>
      <c r="H1678" s="16"/>
      <c r="I1678" s="16"/>
      <c r="J1678" s="16"/>
      <c r="K1678" s="16"/>
      <c r="L1678" s="16"/>
      <c r="M1678" s="16"/>
      <c r="N1678" s="16"/>
      <c r="O1678" s="16"/>
      <c r="P1678" s="16"/>
      <c r="Q1678" s="16"/>
      <c r="R1678" s="16"/>
      <c r="S1678" s="16"/>
      <c r="T1678" s="16"/>
      <c r="U1678" s="16"/>
      <c r="V1678" s="16"/>
      <c r="W1678" s="16"/>
      <c r="X1678" s="16"/>
      <c r="Y1678" s="16"/>
      <c r="Z1678" s="16"/>
      <c r="AA1678" s="16"/>
      <c r="AB1678" s="16"/>
    </row>
    <row r="1679" spans="3:28" ht="12.75">
      <c r="C1679" s="16"/>
      <c r="D1679" s="16"/>
      <c r="E1679" s="16"/>
      <c r="F1679" s="16"/>
      <c r="G1679" s="16"/>
      <c r="H1679" s="16"/>
      <c r="I1679" s="16"/>
      <c r="J1679" s="16"/>
      <c r="K1679" s="16"/>
      <c r="L1679" s="16"/>
      <c r="M1679" s="16"/>
      <c r="N1679" s="16"/>
      <c r="O1679" s="16"/>
      <c r="P1679" s="16"/>
      <c r="Q1679" s="16"/>
      <c r="R1679" s="16"/>
      <c r="S1679" s="16"/>
      <c r="T1679" s="16"/>
      <c r="U1679" s="16"/>
      <c r="V1679" s="16"/>
      <c r="W1679" s="16"/>
      <c r="X1679" s="16"/>
      <c r="Y1679" s="16"/>
      <c r="Z1679" s="16"/>
      <c r="AA1679" s="16"/>
      <c r="AB1679" s="16"/>
    </row>
    <row r="1680" spans="3:28" ht="12.75">
      <c r="C1680" s="16"/>
      <c r="D1680" s="16"/>
      <c r="E1680" s="16"/>
      <c r="F1680" s="16"/>
      <c r="G1680" s="16"/>
      <c r="H1680" s="16"/>
      <c r="I1680" s="16"/>
      <c r="J1680" s="16"/>
      <c r="K1680" s="16"/>
      <c r="L1680" s="16"/>
      <c r="M1680" s="16"/>
      <c r="N1680" s="16"/>
      <c r="O1680" s="16"/>
      <c r="P1680" s="16"/>
      <c r="Q1680" s="16"/>
      <c r="R1680" s="16"/>
      <c r="S1680" s="16"/>
      <c r="T1680" s="16"/>
      <c r="U1680" s="16"/>
      <c r="V1680" s="16"/>
      <c r="W1680" s="16"/>
      <c r="X1680" s="16"/>
      <c r="Y1680" s="16"/>
      <c r="Z1680" s="16"/>
      <c r="AA1680" s="16"/>
      <c r="AB1680" s="16"/>
    </row>
    <row r="1681" spans="3:28" ht="12.75">
      <c r="C1681" s="16"/>
      <c r="D1681" s="16"/>
      <c r="E1681" s="16"/>
      <c r="F1681" s="16"/>
      <c r="G1681" s="16"/>
      <c r="H1681" s="16"/>
      <c r="I1681" s="16"/>
      <c r="J1681" s="16"/>
      <c r="K1681" s="16"/>
      <c r="L1681" s="16"/>
      <c r="M1681" s="16"/>
      <c r="N1681" s="16"/>
      <c r="O1681" s="16"/>
      <c r="P1681" s="16"/>
      <c r="Q1681" s="16"/>
      <c r="R1681" s="16"/>
      <c r="S1681" s="16"/>
      <c r="T1681" s="16"/>
      <c r="U1681" s="16"/>
      <c r="V1681" s="16"/>
      <c r="W1681" s="16"/>
      <c r="X1681" s="16"/>
      <c r="Y1681" s="16"/>
      <c r="Z1681" s="16"/>
      <c r="AA1681" s="16"/>
      <c r="AB1681" s="16"/>
    </row>
    <row r="1682" spans="3:28" ht="12.75">
      <c r="C1682" s="16"/>
      <c r="D1682" s="16"/>
      <c r="E1682" s="16"/>
      <c r="F1682" s="16"/>
      <c r="G1682" s="16"/>
      <c r="H1682" s="16"/>
      <c r="I1682" s="16"/>
      <c r="J1682" s="16"/>
      <c r="K1682" s="16"/>
      <c r="L1682" s="16"/>
      <c r="M1682" s="16"/>
      <c r="N1682" s="16"/>
      <c r="O1682" s="16"/>
      <c r="P1682" s="16"/>
      <c r="Q1682" s="16"/>
      <c r="R1682" s="16"/>
      <c r="S1682" s="16"/>
      <c r="T1682" s="16"/>
      <c r="U1682" s="16"/>
      <c r="V1682" s="16"/>
      <c r="W1682" s="16"/>
      <c r="X1682" s="16"/>
      <c r="Y1682" s="16"/>
      <c r="Z1682" s="16"/>
      <c r="AA1682" s="16"/>
      <c r="AB1682" s="16"/>
    </row>
    <row r="1683" spans="3:28" ht="12.75">
      <c r="C1683" s="16"/>
      <c r="D1683" s="16"/>
      <c r="E1683" s="16"/>
      <c r="F1683" s="16"/>
      <c r="G1683" s="16"/>
      <c r="H1683" s="16"/>
      <c r="I1683" s="16"/>
      <c r="J1683" s="16"/>
      <c r="K1683" s="16"/>
      <c r="L1683" s="16"/>
      <c r="M1683" s="16"/>
      <c r="N1683" s="16"/>
      <c r="O1683" s="16"/>
      <c r="P1683" s="16"/>
      <c r="Q1683" s="16"/>
      <c r="R1683" s="16"/>
      <c r="S1683" s="16"/>
      <c r="T1683" s="16"/>
      <c r="U1683" s="16"/>
      <c r="V1683" s="16"/>
      <c r="W1683" s="16"/>
      <c r="X1683" s="16"/>
      <c r="Y1683" s="16"/>
      <c r="Z1683" s="16"/>
      <c r="AA1683" s="16"/>
      <c r="AB1683" s="16"/>
    </row>
    <row r="1684" spans="3:28" ht="12.75">
      <c r="C1684" s="16"/>
      <c r="D1684" s="16"/>
      <c r="E1684" s="16"/>
      <c r="F1684" s="16"/>
      <c r="G1684" s="16"/>
      <c r="H1684" s="16"/>
      <c r="I1684" s="16"/>
      <c r="J1684" s="16"/>
      <c r="K1684" s="16"/>
      <c r="L1684" s="16"/>
      <c r="M1684" s="16"/>
      <c r="N1684" s="16"/>
      <c r="O1684" s="16"/>
      <c r="P1684" s="16"/>
      <c r="Q1684" s="16"/>
      <c r="R1684" s="16"/>
      <c r="S1684" s="16"/>
      <c r="T1684" s="16"/>
      <c r="U1684" s="16"/>
      <c r="V1684" s="16"/>
      <c r="W1684" s="16"/>
      <c r="X1684" s="16"/>
      <c r="Y1684" s="16"/>
      <c r="Z1684" s="16"/>
      <c r="AA1684" s="16"/>
      <c r="AB1684" s="16"/>
    </row>
    <row r="1685" spans="3:28" ht="12.75">
      <c r="C1685" s="16"/>
      <c r="D1685" s="16"/>
      <c r="E1685" s="16"/>
      <c r="F1685" s="16"/>
      <c r="G1685" s="16"/>
      <c r="H1685" s="16"/>
      <c r="I1685" s="16"/>
      <c r="J1685" s="16"/>
      <c r="K1685" s="16"/>
      <c r="L1685" s="16"/>
      <c r="M1685" s="16"/>
      <c r="N1685" s="16"/>
      <c r="O1685" s="16"/>
      <c r="P1685" s="16"/>
      <c r="Q1685" s="16"/>
      <c r="R1685" s="16"/>
      <c r="S1685" s="16"/>
      <c r="T1685" s="16"/>
      <c r="U1685" s="16"/>
      <c r="V1685" s="16"/>
      <c r="W1685" s="16"/>
      <c r="X1685" s="16"/>
      <c r="Y1685" s="16"/>
      <c r="Z1685" s="16"/>
      <c r="AA1685" s="16"/>
      <c r="AB1685" s="16"/>
    </row>
    <row r="1686" spans="3:28" ht="12.75">
      <c r="C1686" s="16"/>
      <c r="D1686" s="16"/>
      <c r="E1686" s="16"/>
      <c r="F1686" s="16"/>
      <c r="G1686" s="16"/>
      <c r="H1686" s="16"/>
      <c r="I1686" s="16"/>
      <c r="J1686" s="16"/>
      <c r="K1686" s="16"/>
      <c r="L1686" s="16"/>
      <c r="M1686" s="16"/>
      <c r="N1686" s="16"/>
      <c r="O1686" s="16"/>
      <c r="P1686" s="16"/>
      <c r="Q1686" s="16"/>
      <c r="R1686" s="16"/>
      <c r="S1686" s="16"/>
      <c r="T1686" s="16"/>
      <c r="U1686" s="16"/>
      <c r="V1686" s="16"/>
      <c r="W1686" s="16"/>
      <c r="X1686" s="16"/>
      <c r="Y1686" s="16"/>
      <c r="Z1686" s="16"/>
      <c r="AA1686" s="16"/>
      <c r="AB1686" s="16"/>
    </row>
    <row r="1687" spans="3:28" ht="12.75">
      <c r="C1687" s="16"/>
      <c r="D1687" s="16"/>
      <c r="E1687" s="16"/>
      <c r="F1687" s="16"/>
      <c r="G1687" s="16"/>
      <c r="H1687" s="16"/>
      <c r="I1687" s="16"/>
      <c r="J1687" s="16"/>
      <c r="K1687" s="16"/>
      <c r="L1687" s="16"/>
      <c r="M1687" s="16"/>
      <c r="N1687" s="16"/>
      <c r="O1687" s="16"/>
      <c r="P1687" s="16"/>
      <c r="Q1687" s="16"/>
      <c r="R1687" s="16"/>
      <c r="S1687" s="16"/>
      <c r="T1687" s="16"/>
      <c r="U1687" s="16"/>
      <c r="V1687" s="16"/>
      <c r="W1687" s="16"/>
      <c r="X1687" s="16"/>
      <c r="Y1687" s="16"/>
      <c r="Z1687" s="16"/>
      <c r="AA1687" s="16"/>
      <c r="AB1687" s="16"/>
    </row>
    <row r="1688" spans="3:28" ht="12.75">
      <c r="C1688" s="16"/>
      <c r="D1688" s="16"/>
      <c r="E1688" s="16"/>
      <c r="F1688" s="16"/>
      <c r="G1688" s="16"/>
      <c r="H1688" s="16"/>
      <c r="I1688" s="16"/>
      <c r="J1688" s="16"/>
      <c r="K1688" s="16"/>
      <c r="L1688" s="16"/>
      <c r="M1688" s="16"/>
      <c r="N1688" s="16"/>
      <c r="O1688" s="16"/>
      <c r="P1688" s="16"/>
      <c r="Q1688" s="16"/>
      <c r="R1688" s="16"/>
      <c r="S1688" s="16"/>
      <c r="T1688" s="16"/>
      <c r="U1688" s="16"/>
      <c r="V1688" s="16"/>
      <c r="W1688" s="16"/>
      <c r="X1688" s="16"/>
      <c r="Y1688" s="16"/>
      <c r="Z1688" s="16"/>
      <c r="AA1688" s="16"/>
      <c r="AB1688" s="16"/>
    </row>
    <row r="1689" spans="3:28" ht="12.75">
      <c r="C1689" s="16"/>
      <c r="D1689" s="16"/>
      <c r="E1689" s="16"/>
      <c r="F1689" s="16"/>
      <c r="G1689" s="16"/>
      <c r="H1689" s="16"/>
      <c r="I1689" s="16"/>
      <c r="J1689" s="16"/>
      <c r="K1689" s="16"/>
      <c r="L1689" s="16"/>
      <c r="M1689" s="16"/>
      <c r="N1689" s="16"/>
      <c r="O1689" s="16"/>
      <c r="P1689" s="16"/>
      <c r="Q1689" s="16"/>
      <c r="R1689" s="16"/>
      <c r="S1689" s="16"/>
      <c r="T1689" s="16"/>
      <c r="U1689" s="16"/>
      <c r="V1689" s="16"/>
      <c r="W1689" s="16"/>
      <c r="X1689" s="16"/>
      <c r="Y1689" s="16"/>
      <c r="Z1689" s="16"/>
      <c r="AA1689" s="16"/>
      <c r="AB1689" s="16"/>
    </row>
    <row r="1690" spans="3:28" ht="12.75">
      <c r="C1690" s="16"/>
      <c r="D1690" s="16"/>
      <c r="E1690" s="16"/>
      <c r="F1690" s="16"/>
      <c r="G1690" s="16"/>
      <c r="H1690" s="16"/>
      <c r="I1690" s="16"/>
      <c r="J1690" s="16"/>
      <c r="K1690" s="16"/>
      <c r="L1690" s="16"/>
      <c r="M1690" s="16"/>
      <c r="N1690" s="16"/>
      <c r="O1690" s="16"/>
      <c r="P1690" s="16"/>
      <c r="Q1690" s="16"/>
      <c r="R1690" s="16"/>
      <c r="S1690" s="16"/>
      <c r="T1690" s="16"/>
      <c r="U1690" s="16"/>
      <c r="V1690" s="16"/>
      <c r="W1690" s="16"/>
      <c r="X1690" s="16"/>
      <c r="Y1690" s="16"/>
      <c r="Z1690" s="16"/>
      <c r="AA1690" s="16"/>
      <c r="AB1690" s="16"/>
    </row>
    <row r="1691" spans="3:28" ht="12.75">
      <c r="C1691" s="16"/>
      <c r="D1691" s="16"/>
      <c r="E1691" s="16"/>
      <c r="F1691" s="16"/>
      <c r="G1691" s="16"/>
      <c r="H1691" s="16"/>
      <c r="I1691" s="16"/>
      <c r="J1691" s="16"/>
      <c r="K1691" s="16"/>
      <c r="L1691" s="16"/>
      <c r="M1691" s="16"/>
      <c r="N1691" s="16"/>
      <c r="O1691" s="16"/>
      <c r="P1691" s="16"/>
      <c r="Q1691" s="16"/>
      <c r="R1691" s="16"/>
      <c r="S1691" s="16"/>
      <c r="T1691" s="16"/>
      <c r="U1691" s="16"/>
      <c r="V1691" s="16"/>
      <c r="W1691" s="16"/>
      <c r="X1691" s="16"/>
      <c r="Y1691" s="16"/>
      <c r="Z1691" s="16"/>
      <c r="AA1691" s="16"/>
      <c r="AB1691" s="16"/>
    </row>
    <row r="1692" spans="3:28" ht="12.75">
      <c r="C1692" s="16"/>
      <c r="D1692" s="16"/>
      <c r="E1692" s="16"/>
      <c r="F1692" s="16"/>
      <c r="G1692" s="16"/>
      <c r="H1692" s="16"/>
      <c r="I1692" s="16"/>
      <c r="J1692" s="16"/>
      <c r="K1692" s="16"/>
      <c r="L1692" s="16"/>
      <c r="M1692" s="16"/>
      <c r="N1692" s="16"/>
      <c r="O1692" s="16"/>
      <c r="P1692" s="16"/>
      <c r="Q1692" s="16"/>
      <c r="R1692" s="16"/>
      <c r="S1692" s="16"/>
      <c r="T1692" s="16"/>
      <c r="U1692" s="16"/>
      <c r="V1692" s="16"/>
      <c r="W1692" s="16"/>
      <c r="X1692" s="16"/>
      <c r="Y1692" s="16"/>
      <c r="Z1692" s="16"/>
      <c r="AA1692" s="16"/>
      <c r="AB1692" s="16"/>
    </row>
    <row r="1693" spans="3:28" ht="12.75">
      <c r="C1693" s="16"/>
      <c r="D1693" s="16"/>
      <c r="E1693" s="16"/>
      <c r="F1693" s="16"/>
      <c r="G1693" s="16"/>
      <c r="H1693" s="16"/>
      <c r="I1693" s="16"/>
      <c r="J1693" s="16"/>
      <c r="K1693" s="16"/>
      <c r="L1693" s="16"/>
      <c r="M1693" s="16"/>
      <c r="N1693" s="16"/>
      <c r="O1693" s="16"/>
      <c r="P1693" s="16"/>
      <c r="Q1693" s="16"/>
      <c r="R1693" s="16"/>
      <c r="S1693" s="16"/>
      <c r="T1693" s="16"/>
      <c r="U1693" s="16"/>
      <c r="V1693" s="16"/>
      <c r="W1693" s="16"/>
      <c r="X1693" s="16"/>
      <c r="Y1693" s="16"/>
      <c r="Z1693" s="16"/>
      <c r="AA1693" s="16"/>
      <c r="AB1693" s="16"/>
    </row>
    <row r="1694" spans="3:28" ht="12.75">
      <c r="C1694" s="16"/>
      <c r="D1694" s="16"/>
      <c r="E1694" s="16"/>
      <c r="F1694" s="16"/>
      <c r="G1694" s="16"/>
      <c r="H1694" s="16"/>
      <c r="I1694" s="16"/>
      <c r="J1694" s="16"/>
      <c r="K1694" s="16"/>
      <c r="L1694" s="16"/>
      <c r="M1694" s="16"/>
      <c r="N1694" s="16"/>
      <c r="O1694" s="16"/>
      <c r="P1694" s="16"/>
      <c r="Q1694" s="16"/>
      <c r="R1694" s="16"/>
      <c r="S1694" s="16"/>
      <c r="T1694" s="16"/>
      <c r="U1694" s="16"/>
      <c r="V1694" s="16"/>
      <c r="W1694" s="16"/>
      <c r="X1694" s="16"/>
      <c r="Y1694" s="16"/>
      <c r="Z1694" s="16"/>
      <c r="AA1694" s="16"/>
      <c r="AB1694" s="16"/>
    </row>
    <row r="1695" spans="3:28" ht="12.75">
      <c r="C1695" s="16"/>
      <c r="D1695" s="16"/>
      <c r="E1695" s="16"/>
      <c r="F1695" s="16"/>
      <c r="G1695" s="16"/>
      <c r="H1695" s="16"/>
      <c r="I1695" s="16"/>
      <c r="J1695" s="16"/>
      <c r="K1695" s="16"/>
      <c r="L1695" s="16"/>
      <c r="M1695" s="16"/>
      <c r="N1695" s="16"/>
      <c r="O1695" s="16"/>
      <c r="P1695" s="16"/>
      <c r="Q1695" s="16"/>
      <c r="R1695" s="16"/>
      <c r="S1695" s="16"/>
      <c r="T1695" s="16"/>
      <c r="U1695" s="16"/>
      <c r="V1695" s="16"/>
      <c r="W1695" s="16"/>
      <c r="X1695" s="16"/>
      <c r="Y1695" s="16"/>
      <c r="Z1695" s="16"/>
      <c r="AA1695" s="16"/>
      <c r="AB1695" s="16"/>
    </row>
    <row r="1696" spans="3:28" ht="12.75">
      <c r="C1696" s="16"/>
      <c r="D1696" s="16"/>
      <c r="E1696" s="16"/>
      <c r="F1696" s="16"/>
      <c r="G1696" s="16"/>
      <c r="H1696" s="16"/>
      <c r="I1696" s="16"/>
      <c r="J1696" s="16"/>
      <c r="K1696" s="16"/>
      <c r="L1696" s="16"/>
      <c r="M1696" s="16"/>
      <c r="N1696" s="16"/>
      <c r="O1696" s="16"/>
      <c r="P1696" s="16"/>
      <c r="Q1696" s="16"/>
      <c r="R1696" s="16"/>
      <c r="S1696" s="16"/>
      <c r="T1696" s="16"/>
      <c r="U1696" s="16"/>
      <c r="V1696" s="16"/>
      <c r="W1696" s="16"/>
      <c r="X1696" s="16"/>
      <c r="Y1696" s="16"/>
      <c r="Z1696" s="16"/>
      <c r="AA1696" s="16"/>
      <c r="AB1696" s="16"/>
    </row>
    <row r="1697" spans="3:28" ht="12.75">
      <c r="C1697" s="16"/>
      <c r="D1697" s="16"/>
      <c r="E1697" s="16"/>
      <c r="F1697" s="16"/>
      <c r="G1697" s="16"/>
      <c r="H1697" s="16"/>
      <c r="I1697" s="16"/>
      <c r="J1697" s="16"/>
      <c r="K1697" s="16"/>
      <c r="L1697" s="16"/>
      <c r="M1697" s="16"/>
      <c r="N1697" s="16"/>
      <c r="O1697" s="16"/>
      <c r="P1697" s="16"/>
      <c r="Q1697" s="16"/>
      <c r="R1697" s="16"/>
      <c r="S1697" s="16"/>
      <c r="T1697" s="16"/>
      <c r="U1697" s="16"/>
      <c r="V1697" s="16"/>
      <c r="W1697" s="16"/>
      <c r="X1697" s="16"/>
      <c r="Y1697" s="16"/>
      <c r="Z1697" s="16"/>
      <c r="AA1697" s="16"/>
      <c r="AB1697" s="16"/>
    </row>
    <row r="1698" spans="3:28" ht="12.75">
      <c r="C1698" s="16"/>
      <c r="D1698" s="16"/>
      <c r="E1698" s="16"/>
      <c r="F1698" s="16"/>
      <c r="G1698" s="16"/>
      <c r="H1698" s="16"/>
      <c r="I1698" s="16"/>
      <c r="J1698" s="16"/>
      <c r="K1698" s="16"/>
      <c r="L1698" s="16"/>
      <c r="M1698" s="16"/>
      <c r="N1698" s="16"/>
      <c r="O1698" s="16"/>
      <c r="P1698" s="16"/>
      <c r="Q1698" s="16"/>
      <c r="R1698" s="16"/>
      <c r="S1698" s="16"/>
      <c r="T1698" s="16"/>
      <c r="U1698" s="16"/>
      <c r="V1698" s="16"/>
      <c r="W1698" s="16"/>
      <c r="X1698" s="16"/>
      <c r="Y1698" s="16"/>
      <c r="Z1698" s="16"/>
      <c r="AA1698" s="16"/>
      <c r="AB1698" s="16"/>
    </row>
    <row r="1699" spans="3:28" ht="12.75">
      <c r="C1699" s="16"/>
      <c r="D1699" s="16"/>
      <c r="E1699" s="16"/>
      <c r="F1699" s="16"/>
      <c r="G1699" s="16"/>
      <c r="H1699" s="16"/>
      <c r="I1699" s="16"/>
      <c r="J1699" s="16"/>
      <c r="K1699" s="16"/>
      <c r="L1699" s="16"/>
      <c r="M1699" s="16"/>
      <c r="N1699" s="16"/>
      <c r="O1699" s="16"/>
      <c r="P1699" s="16"/>
      <c r="Q1699" s="16"/>
      <c r="R1699" s="16"/>
      <c r="S1699" s="16"/>
      <c r="T1699" s="16"/>
      <c r="U1699" s="16"/>
      <c r="V1699" s="16"/>
      <c r="W1699" s="16"/>
      <c r="X1699" s="16"/>
      <c r="Y1699" s="16"/>
      <c r="Z1699" s="16"/>
      <c r="AA1699" s="16"/>
      <c r="AB1699" s="16"/>
    </row>
    <row r="1700" spans="3:28" ht="12.75">
      <c r="C1700" s="16"/>
      <c r="D1700" s="16"/>
      <c r="E1700" s="16"/>
      <c r="F1700" s="16"/>
      <c r="G1700" s="16"/>
      <c r="H1700" s="16"/>
      <c r="I1700" s="16"/>
      <c r="J1700" s="16"/>
      <c r="K1700" s="16"/>
      <c r="L1700" s="16"/>
      <c r="M1700" s="16"/>
      <c r="N1700" s="16"/>
      <c r="O1700" s="16"/>
      <c r="P1700" s="16"/>
      <c r="Q1700" s="16"/>
      <c r="R1700" s="16"/>
      <c r="S1700" s="16"/>
      <c r="T1700" s="16"/>
      <c r="U1700" s="16"/>
      <c r="V1700" s="16"/>
      <c r="W1700" s="16"/>
      <c r="X1700" s="16"/>
      <c r="Y1700" s="16"/>
      <c r="Z1700" s="16"/>
      <c r="AA1700" s="16"/>
      <c r="AB1700" s="16"/>
    </row>
    <row r="1701" spans="3:28" ht="12.75">
      <c r="C1701" s="16"/>
      <c r="D1701" s="16"/>
      <c r="E1701" s="16"/>
      <c r="F1701" s="16"/>
      <c r="G1701" s="16"/>
      <c r="H1701" s="16"/>
      <c r="I1701" s="16"/>
      <c r="J1701" s="16"/>
      <c r="K1701" s="16"/>
      <c r="L1701" s="16"/>
      <c r="M1701" s="16"/>
      <c r="N1701" s="16"/>
      <c r="O1701" s="16"/>
      <c r="P1701" s="16"/>
      <c r="Q1701" s="16"/>
      <c r="R1701" s="16"/>
      <c r="S1701" s="16"/>
      <c r="T1701" s="16"/>
      <c r="U1701" s="16"/>
      <c r="V1701" s="16"/>
      <c r="W1701" s="16"/>
      <c r="X1701" s="16"/>
      <c r="Y1701" s="16"/>
      <c r="Z1701" s="16"/>
      <c r="AA1701" s="16"/>
      <c r="AB1701" s="16"/>
    </row>
    <row r="1702" spans="3:28" ht="12.75">
      <c r="C1702" s="16"/>
      <c r="D1702" s="16"/>
      <c r="E1702" s="16"/>
      <c r="F1702" s="16"/>
      <c r="G1702" s="16"/>
      <c r="H1702" s="16"/>
      <c r="I1702" s="16"/>
      <c r="J1702" s="16"/>
      <c r="K1702" s="16"/>
      <c r="L1702" s="16"/>
      <c r="M1702" s="16"/>
      <c r="N1702" s="16"/>
      <c r="O1702" s="16"/>
      <c r="P1702" s="16"/>
      <c r="Q1702" s="16"/>
      <c r="R1702" s="16"/>
      <c r="S1702" s="16"/>
      <c r="T1702" s="16"/>
      <c r="U1702" s="16"/>
      <c r="V1702" s="16"/>
      <c r="W1702" s="16"/>
      <c r="X1702" s="16"/>
      <c r="Y1702" s="16"/>
      <c r="Z1702" s="16"/>
      <c r="AA1702" s="16"/>
      <c r="AB1702" s="16"/>
    </row>
    <row r="1703" spans="3:28" ht="12.75">
      <c r="C1703" s="16"/>
      <c r="D1703" s="16"/>
      <c r="E1703" s="16"/>
      <c r="F1703" s="16"/>
      <c r="G1703" s="16"/>
      <c r="H1703" s="16"/>
      <c r="I1703" s="16"/>
      <c r="J1703" s="16"/>
      <c r="K1703" s="16"/>
      <c r="L1703" s="16"/>
      <c r="M1703" s="16"/>
      <c r="N1703" s="16"/>
      <c r="O1703" s="16"/>
      <c r="P1703" s="16"/>
      <c r="Q1703" s="16"/>
      <c r="R1703" s="16"/>
      <c r="S1703" s="16"/>
      <c r="T1703" s="16"/>
      <c r="U1703" s="16"/>
      <c r="V1703" s="16"/>
      <c r="W1703" s="16"/>
      <c r="X1703" s="16"/>
      <c r="Y1703" s="16"/>
      <c r="Z1703" s="16"/>
      <c r="AA1703" s="16"/>
      <c r="AB1703" s="16"/>
    </row>
    <row r="1704" spans="3:28" ht="12.75">
      <c r="C1704" s="16"/>
      <c r="D1704" s="16"/>
      <c r="E1704" s="16"/>
      <c r="F1704" s="16"/>
      <c r="G1704" s="16"/>
      <c r="H1704" s="16"/>
      <c r="I1704" s="16"/>
      <c r="J1704" s="16"/>
      <c r="K1704" s="16"/>
      <c r="L1704" s="16"/>
      <c r="M1704" s="16"/>
      <c r="N1704" s="16"/>
      <c r="O1704" s="16"/>
      <c r="P1704" s="16"/>
      <c r="Q1704" s="16"/>
      <c r="R1704" s="16"/>
      <c r="S1704" s="16"/>
      <c r="T1704" s="16"/>
      <c r="U1704" s="16"/>
      <c r="V1704" s="16"/>
      <c r="W1704" s="16"/>
      <c r="X1704" s="16"/>
      <c r="Y1704" s="16"/>
      <c r="Z1704" s="16"/>
      <c r="AA1704" s="16"/>
      <c r="AB1704" s="16"/>
    </row>
    <row r="1705" spans="3:28" ht="12.75">
      <c r="C1705" s="16"/>
      <c r="D1705" s="16"/>
      <c r="E1705" s="16"/>
      <c r="F1705" s="16"/>
      <c r="G1705" s="16"/>
      <c r="H1705" s="16"/>
      <c r="I1705" s="16"/>
      <c r="J1705" s="16"/>
      <c r="K1705" s="16"/>
      <c r="L1705" s="16"/>
      <c r="M1705" s="16"/>
      <c r="N1705" s="16"/>
      <c r="O1705" s="16"/>
      <c r="P1705" s="16"/>
      <c r="Q1705" s="16"/>
      <c r="R1705" s="16"/>
      <c r="S1705" s="16"/>
      <c r="T1705" s="16"/>
      <c r="U1705" s="16"/>
      <c r="V1705" s="16"/>
      <c r="W1705" s="16"/>
      <c r="X1705" s="16"/>
      <c r="Y1705" s="16"/>
      <c r="Z1705" s="16"/>
      <c r="AA1705" s="16"/>
      <c r="AB1705" s="16"/>
    </row>
    <row r="1706" spans="3:28" ht="12.75">
      <c r="C1706" s="16"/>
      <c r="D1706" s="16"/>
      <c r="E1706" s="16"/>
      <c r="F1706" s="16"/>
      <c r="G1706" s="16"/>
      <c r="H1706" s="16"/>
      <c r="I1706" s="16"/>
      <c r="J1706" s="16"/>
      <c r="K1706" s="16"/>
      <c r="L1706" s="16"/>
      <c r="M1706" s="16"/>
      <c r="N1706" s="16"/>
      <c r="O1706" s="16"/>
      <c r="P1706" s="16"/>
      <c r="Q1706" s="16"/>
      <c r="R1706" s="16"/>
      <c r="S1706" s="16"/>
      <c r="T1706" s="16"/>
      <c r="U1706" s="16"/>
      <c r="V1706" s="16"/>
      <c r="W1706" s="16"/>
      <c r="X1706" s="16"/>
      <c r="Y1706" s="16"/>
      <c r="Z1706" s="16"/>
      <c r="AA1706" s="16"/>
      <c r="AB1706" s="16"/>
    </row>
    <row r="1707" spans="3:28" ht="12.75">
      <c r="C1707" s="16"/>
      <c r="D1707" s="16"/>
      <c r="E1707" s="16"/>
      <c r="F1707" s="16"/>
      <c r="G1707" s="16"/>
      <c r="H1707" s="16"/>
      <c r="I1707" s="16"/>
      <c r="J1707" s="16"/>
      <c r="K1707" s="16"/>
      <c r="L1707" s="16"/>
      <c r="M1707" s="16"/>
      <c r="N1707" s="16"/>
      <c r="O1707" s="16"/>
      <c r="P1707" s="16"/>
      <c r="Q1707" s="16"/>
      <c r="R1707" s="16"/>
      <c r="S1707" s="16"/>
      <c r="T1707" s="16"/>
      <c r="U1707" s="16"/>
      <c r="V1707" s="16"/>
      <c r="W1707" s="16"/>
      <c r="X1707" s="16"/>
      <c r="Y1707" s="16"/>
      <c r="Z1707" s="16"/>
      <c r="AA1707" s="16"/>
      <c r="AB1707" s="16"/>
    </row>
    <row r="1708" spans="3:28" ht="12.75">
      <c r="C1708" s="16"/>
      <c r="D1708" s="16"/>
      <c r="E1708" s="16"/>
      <c r="F1708" s="16"/>
      <c r="G1708" s="16"/>
      <c r="H1708" s="16"/>
      <c r="I1708" s="16"/>
      <c r="J1708" s="16"/>
      <c r="K1708" s="16"/>
      <c r="L1708" s="16"/>
      <c r="M1708" s="16"/>
      <c r="N1708" s="16"/>
      <c r="O1708" s="16"/>
      <c r="P1708" s="16"/>
      <c r="Q1708" s="16"/>
      <c r="R1708" s="16"/>
      <c r="S1708" s="16"/>
      <c r="T1708" s="16"/>
      <c r="U1708" s="16"/>
      <c r="V1708" s="16"/>
      <c r="W1708" s="16"/>
      <c r="X1708" s="16"/>
      <c r="Y1708" s="16"/>
      <c r="Z1708" s="16"/>
      <c r="AA1708" s="16"/>
      <c r="AB1708" s="16"/>
    </row>
    <row r="1709" spans="3:28" ht="12.75">
      <c r="C1709" s="16"/>
      <c r="D1709" s="16"/>
      <c r="E1709" s="16"/>
      <c r="F1709" s="16"/>
      <c r="G1709" s="16"/>
      <c r="H1709" s="16"/>
      <c r="I1709" s="16"/>
      <c r="J1709" s="16"/>
      <c r="K1709" s="16"/>
      <c r="L1709" s="16"/>
      <c r="M1709" s="16"/>
      <c r="N1709" s="16"/>
      <c r="O1709" s="16"/>
      <c r="P1709" s="16"/>
      <c r="Q1709" s="16"/>
      <c r="R1709" s="16"/>
      <c r="S1709" s="16"/>
      <c r="T1709" s="16"/>
      <c r="U1709" s="16"/>
      <c r="V1709" s="16"/>
      <c r="W1709" s="16"/>
      <c r="X1709" s="16"/>
      <c r="Y1709" s="16"/>
      <c r="Z1709" s="16"/>
      <c r="AA1709" s="16"/>
      <c r="AB1709" s="16"/>
    </row>
    <row r="1710" spans="3:28" ht="12.75">
      <c r="C1710" s="16"/>
      <c r="D1710" s="16"/>
      <c r="E1710" s="16"/>
      <c r="F1710" s="16"/>
      <c r="G1710" s="16"/>
      <c r="H1710" s="16"/>
      <c r="I1710" s="16"/>
      <c r="J1710" s="16"/>
      <c r="K1710" s="16"/>
      <c r="L1710" s="16"/>
      <c r="M1710" s="16"/>
      <c r="N1710" s="16"/>
      <c r="O1710" s="16"/>
      <c r="P1710" s="16"/>
      <c r="Q1710" s="16"/>
      <c r="R1710" s="16"/>
      <c r="S1710" s="16"/>
      <c r="T1710" s="16"/>
      <c r="U1710" s="16"/>
      <c r="V1710" s="16"/>
      <c r="W1710" s="16"/>
      <c r="X1710" s="16"/>
      <c r="Y1710" s="16"/>
      <c r="Z1710" s="16"/>
      <c r="AA1710" s="16"/>
      <c r="AB1710" s="16"/>
    </row>
    <row r="1711" spans="3:28" ht="12.75">
      <c r="C1711" s="16"/>
      <c r="D1711" s="16"/>
      <c r="E1711" s="16"/>
      <c r="F1711" s="16"/>
      <c r="G1711" s="16"/>
      <c r="H1711" s="16"/>
      <c r="I1711" s="16"/>
      <c r="J1711" s="16"/>
      <c r="K1711" s="16"/>
      <c r="L1711" s="16"/>
      <c r="M1711" s="16"/>
      <c r="N1711" s="16"/>
      <c r="O1711" s="16"/>
      <c r="P1711" s="16"/>
      <c r="Q1711" s="16"/>
      <c r="R1711" s="16"/>
      <c r="S1711" s="16"/>
      <c r="T1711" s="16"/>
      <c r="U1711" s="16"/>
      <c r="V1711" s="16"/>
      <c r="W1711" s="16"/>
      <c r="X1711" s="16"/>
      <c r="Y1711" s="16"/>
      <c r="Z1711" s="16"/>
      <c r="AA1711" s="16"/>
      <c r="AB1711" s="16"/>
    </row>
    <row r="1712" spans="3:28" ht="12.75">
      <c r="C1712" s="16"/>
      <c r="D1712" s="16"/>
      <c r="E1712" s="16"/>
      <c r="F1712" s="16"/>
      <c r="G1712" s="16"/>
      <c r="H1712" s="16"/>
      <c r="I1712" s="16"/>
      <c r="J1712" s="16"/>
      <c r="K1712" s="16"/>
      <c r="L1712" s="16"/>
      <c r="M1712" s="16"/>
      <c r="N1712" s="16"/>
      <c r="O1712" s="16"/>
      <c r="P1712" s="16"/>
      <c r="Q1712" s="16"/>
      <c r="R1712" s="16"/>
      <c r="S1712" s="16"/>
      <c r="T1712" s="16"/>
      <c r="U1712" s="16"/>
      <c r="V1712" s="16"/>
      <c r="W1712" s="16"/>
      <c r="X1712" s="16"/>
      <c r="Y1712" s="16"/>
      <c r="Z1712" s="16"/>
      <c r="AA1712" s="16"/>
      <c r="AB1712" s="16"/>
    </row>
    <row r="1713" spans="3:28" ht="12.75">
      <c r="C1713" s="16"/>
      <c r="D1713" s="16"/>
      <c r="E1713" s="16"/>
      <c r="F1713" s="16"/>
      <c r="G1713" s="16"/>
      <c r="H1713" s="16"/>
      <c r="I1713" s="16"/>
      <c r="J1713" s="16"/>
      <c r="K1713" s="16"/>
      <c r="L1713" s="16"/>
      <c r="M1713" s="16"/>
      <c r="N1713" s="16"/>
      <c r="O1713" s="16"/>
      <c r="P1713" s="16"/>
      <c r="Q1713" s="16"/>
      <c r="R1713" s="16"/>
      <c r="S1713" s="16"/>
      <c r="T1713" s="16"/>
      <c r="U1713" s="16"/>
      <c r="V1713" s="16"/>
      <c r="W1713" s="16"/>
      <c r="X1713" s="16"/>
      <c r="Y1713" s="16"/>
      <c r="Z1713" s="16"/>
      <c r="AA1713" s="16"/>
      <c r="AB1713" s="16"/>
    </row>
    <row r="1714" spans="3:28" ht="12.75">
      <c r="C1714" s="16"/>
      <c r="D1714" s="16"/>
      <c r="E1714" s="16"/>
      <c r="F1714" s="16"/>
      <c r="G1714" s="16"/>
      <c r="H1714" s="16"/>
      <c r="I1714" s="16"/>
      <c r="J1714" s="16"/>
      <c r="K1714" s="16"/>
      <c r="L1714" s="16"/>
      <c r="M1714" s="16"/>
      <c r="N1714" s="16"/>
      <c r="O1714" s="16"/>
      <c r="P1714" s="16"/>
      <c r="Q1714" s="16"/>
      <c r="R1714" s="16"/>
      <c r="S1714" s="16"/>
      <c r="T1714" s="16"/>
      <c r="U1714" s="16"/>
      <c r="V1714" s="16"/>
      <c r="W1714" s="16"/>
      <c r="X1714" s="16"/>
      <c r="Y1714" s="16"/>
      <c r="Z1714" s="16"/>
      <c r="AA1714" s="16"/>
      <c r="AB1714" s="16"/>
    </row>
    <row r="1715" spans="3:28" ht="12.75">
      <c r="C1715" s="16"/>
      <c r="D1715" s="16"/>
      <c r="E1715" s="16"/>
      <c r="F1715" s="16"/>
      <c r="G1715" s="16"/>
      <c r="H1715" s="16"/>
      <c r="I1715" s="16"/>
      <c r="J1715" s="16"/>
      <c r="K1715" s="16"/>
      <c r="L1715" s="16"/>
      <c r="M1715" s="16"/>
      <c r="N1715" s="16"/>
      <c r="O1715" s="16"/>
      <c r="P1715" s="16"/>
      <c r="Q1715" s="16"/>
      <c r="R1715" s="16"/>
      <c r="S1715" s="16"/>
      <c r="T1715" s="16"/>
      <c r="U1715" s="16"/>
      <c r="V1715" s="16"/>
      <c r="W1715" s="16"/>
      <c r="X1715" s="16"/>
      <c r="Y1715" s="16"/>
      <c r="Z1715" s="16"/>
      <c r="AA1715" s="16"/>
      <c r="AB1715" s="16"/>
    </row>
    <row r="1716" spans="3:28" ht="12.75">
      <c r="C1716" s="16"/>
      <c r="D1716" s="16"/>
      <c r="E1716" s="16"/>
      <c r="F1716" s="16"/>
      <c r="G1716" s="16"/>
      <c r="H1716" s="16"/>
      <c r="I1716" s="16"/>
      <c r="J1716" s="16"/>
      <c r="K1716" s="16"/>
      <c r="L1716" s="16"/>
      <c r="M1716" s="16"/>
      <c r="N1716" s="16"/>
      <c r="O1716" s="16"/>
      <c r="P1716" s="16"/>
      <c r="Q1716" s="16"/>
      <c r="R1716" s="16"/>
      <c r="S1716" s="16"/>
      <c r="T1716" s="16"/>
      <c r="U1716" s="16"/>
      <c r="V1716" s="16"/>
      <c r="W1716" s="16"/>
      <c r="X1716" s="16"/>
      <c r="Y1716" s="16"/>
      <c r="Z1716" s="16"/>
      <c r="AA1716" s="16"/>
      <c r="AB1716" s="16"/>
    </row>
    <row r="1717" spans="3:28" ht="12.75">
      <c r="C1717" s="16"/>
      <c r="D1717" s="16"/>
      <c r="E1717" s="16"/>
      <c r="F1717" s="16"/>
      <c r="G1717" s="16"/>
      <c r="H1717" s="16"/>
      <c r="I1717" s="16"/>
      <c r="J1717" s="16"/>
      <c r="K1717" s="16"/>
      <c r="L1717" s="16"/>
      <c r="M1717" s="16"/>
      <c r="N1717" s="16"/>
      <c r="O1717" s="16"/>
      <c r="P1717" s="16"/>
      <c r="Q1717" s="16"/>
      <c r="R1717" s="16"/>
      <c r="S1717" s="16"/>
      <c r="T1717" s="16"/>
      <c r="U1717" s="16"/>
      <c r="V1717" s="16"/>
      <c r="W1717" s="16"/>
      <c r="X1717" s="16"/>
      <c r="Y1717" s="16"/>
      <c r="Z1717" s="16"/>
      <c r="AA1717" s="16"/>
      <c r="AB1717" s="16"/>
    </row>
    <row r="1718" spans="3:28" ht="12.75">
      <c r="C1718" s="16"/>
      <c r="D1718" s="16"/>
      <c r="E1718" s="16"/>
      <c r="F1718" s="16"/>
      <c r="G1718" s="16"/>
      <c r="H1718" s="16"/>
      <c r="I1718" s="16"/>
      <c r="J1718" s="16"/>
      <c r="K1718" s="16"/>
      <c r="L1718" s="16"/>
      <c r="M1718" s="16"/>
      <c r="N1718" s="16"/>
      <c r="O1718" s="16"/>
      <c r="P1718" s="16"/>
      <c r="Q1718" s="16"/>
      <c r="R1718" s="16"/>
      <c r="S1718" s="16"/>
      <c r="T1718" s="16"/>
      <c r="U1718" s="16"/>
      <c r="V1718" s="16"/>
      <c r="W1718" s="16"/>
      <c r="X1718" s="16"/>
      <c r="Y1718" s="16"/>
      <c r="Z1718" s="16"/>
      <c r="AA1718" s="16"/>
      <c r="AB1718" s="16"/>
    </row>
    <row r="1719" spans="3:28" ht="12.75">
      <c r="C1719" s="16"/>
      <c r="D1719" s="16"/>
      <c r="E1719" s="16"/>
      <c r="F1719" s="16"/>
      <c r="G1719" s="16"/>
      <c r="H1719" s="16"/>
      <c r="I1719" s="16"/>
      <c r="J1719" s="16"/>
      <c r="K1719" s="16"/>
      <c r="L1719" s="16"/>
      <c r="M1719" s="16"/>
      <c r="N1719" s="16"/>
      <c r="O1719" s="16"/>
      <c r="P1719" s="16"/>
      <c r="Q1719" s="16"/>
      <c r="R1719" s="16"/>
      <c r="S1719" s="16"/>
      <c r="T1719" s="16"/>
      <c r="U1719" s="16"/>
      <c r="V1719" s="16"/>
      <c r="W1719" s="16"/>
      <c r="X1719" s="16"/>
      <c r="Y1719" s="16"/>
      <c r="Z1719" s="16"/>
      <c r="AA1719" s="16"/>
      <c r="AB1719" s="16"/>
    </row>
    <row r="1720" spans="3:28" ht="12.75">
      <c r="C1720" s="16"/>
      <c r="D1720" s="16"/>
      <c r="E1720" s="16"/>
      <c r="F1720" s="16"/>
      <c r="G1720" s="16"/>
      <c r="H1720" s="16"/>
      <c r="I1720" s="16"/>
      <c r="J1720" s="16"/>
      <c r="K1720" s="16"/>
      <c r="L1720" s="16"/>
      <c r="M1720" s="16"/>
      <c r="N1720" s="16"/>
      <c r="O1720" s="16"/>
      <c r="P1720" s="16"/>
      <c r="Q1720" s="16"/>
      <c r="R1720" s="16"/>
      <c r="S1720" s="16"/>
      <c r="T1720" s="16"/>
      <c r="U1720" s="16"/>
      <c r="V1720" s="16"/>
      <c r="W1720" s="16"/>
      <c r="X1720" s="16"/>
      <c r="Y1720" s="16"/>
      <c r="Z1720" s="16"/>
      <c r="AA1720" s="16"/>
      <c r="AB1720" s="16"/>
    </row>
    <row r="1721" spans="3:28" ht="12.75">
      <c r="C1721" s="16"/>
      <c r="D1721" s="16"/>
      <c r="E1721" s="16"/>
      <c r="F1721" s="16"/>
      <c r="G1721" s="16"/>
      <c r="H1721" s="16"/>
      <c r="I1721" s="16"/>
      <c r="J1721" s="16"/>
      <c r="K1721" s="16"/>
      <c r="L1721" s="16"/>
      <c r="M1721" s="16"/>
      <c r="N1721" s="16"/>
      <c r="O1721" s="16"/>
      <c r="P1721" s="16"/>
      <c r="Q1721" s="16"/>
      <c r="R1721" s="16"/>
      <c r="S1721" s="16"/>
      <c r="T1721" s="16"/>
      <c r="U1721" s="16"/>
      <c r="V1721" s="16"/>
      <c r="W1721" s="16"/>
      <c r="X1721" s="16"/>
      <c r="Y1721" s="16"/>
      <c r="Z1721" s="16"/>
      <c r="AA1721" s="16"/>
      <c r="AB1721" s="16"/>
    </row>
    <row r="1722" spans="3:28" ht="12.75">
      <c r="C1722" s="16"/>
      <c r="D1722" s="16"/>
      <c r="E1722" s="16"/>
      <c r="F1722" s="16"/>
      <c r="G1722" s="16"/>
      <c r="H1722" s="16"/>
      <c r="I1722" s="16"/>
      <c r="J1722" s="16"/>
      <c r="K1722" s="16"/>
      <c r="L1722" s="16"/>
      <c r="M1722" s="16"/>
      <c r="N1722" s="16"/>
      <c r="O1722" s="16"/>
      <c r="P1722" s="16"/>
      <c r="Q1722" s="16"/>
      <c r="R1722" s="16"/>
      <c r="S1722" s="16"/>
      <c r="T1722" s="16"/>
      <c r="U1722" s="16"/>
      <c r="V1722" s="16"/>
      <c r="W1722" s="16"/>
      <c r="X1722" s="16"/>
      <c r="Y1722" s="16"/>
      <c r="Z1722" s="16"/>
      <c r="AA1722" s="16"/>
      <c r="AB1722" s="16"/>
    </row>
    <row r="1723" spans="3:28" ht="12.75">
      <c r="C1723" s="16"/>
      <c r="D1723" s="16"/>
      <c r="E1723" s="16"/>
      <c r="F1723" s="16"/>
      <c r="G1723" s="16"/>
      <c r="H1723" s="16"/>
      <c r="I1723" s="16"/>
      <c r="J1723" s="16"/>
      <c r="K1723" s="16"/>
      <c r="L1723" s="16"/>
      <c r="M1723" s="16"/>
      <c r="N1723" s="16"/>
      <c r="O1723" s="16"/>
      <c r="P1723" s="16"/>
      <c r="Q1723" s="16"/>
      <c r="R1723" s="16"/>
      <c r="S1723" s="16"/>
      <c r="T1723" s="16"/>
      <c r="U1723" s="16"/>
      <c r="V1723" s="16"/>
      <c r="W1723" s="16"/>
      <c r="X1723" s="16"/>
      <c r="Y1723" s="16"/>
      <c r="Z1723" s="16"/>
      <c r="AA1723" s="16"/>
      <c r="AB1723" s="16"/>
    </row>
    <row r="1724" spans="3:28" ht="12.75">
      <c r="C1724" s="16"/>
      <c r="D1724" s="16"/>
      <c r="E1724" s="16"/>
      <c r="F1724" s="16"/>
      <c r="G1724" s="16"/>
      <c r="H1724" s="16"/>
      <c r="I1724" s="16"/>
      <c r="J1724" s="16"/>
      <c r="K1724" s="16"/>
      <c r="L1724" s="16"/>
      <c r="M1724" s="16"/>
      <c r="N1724" s="16"/>
      <c r="O1724" s="16"/>
      <c r="P1724" s="16"/>
      <c r="Q1724" s="16"/>
      <c r="R1724" s="16"/>
      <c r="S1724" s="16"/>
      <c r="T1724" s="16"/>
      <c r="U1724" s="16"/>
      <c r="V1724" s="16"/>
      <c r="W1724" s="16"/>
      <c r="X1724" s="16"/>
      <c r="Y1724" s="16"/>
      <c r="Z1724" s="16"/>
      <c r="AA1724" s="16"/>
      <c r="AB1724" s="16"/>
    </row>
    <row r="1725" spans="3:28" ht="12.75">
      <c r="C1725" s="16"/>
      <c r="D1725" s="16"/>
      <c r="E1725" s="16"/>
      <c r="F1725" s="16"/>
      <c r="G1725" s="16"/>
      <c r="H1725" s="16"/>
      <c r="I1725" s="16"/>
      <c r="J1725" s="16"/>
      <c r="K1725" s="16"/>
      <c r="L1725" s="16"/>
      <c r="M1725" s="16"/>
      <c r="N1725" s="16"/>
      <c r="O1725" s="16"/>
      <c r="P1725" s="16"/>
      <c r="Q1725" s="16"/>
      <c r="R1725" s="16"/>
      <c r="S1725" s="16"/>
      <c r="T1725" s="16"/>
      <c r="U1725" s="16"/>
      <c r="V1725" s="16"/>
      <c r="W1725" s="16"/>
      <c r="X1725" s="16"/>
      <c r="Y1725" s="16"/>
      <c r="Z1725" s="16"/>
      <c r="AA1725" s="16"/>
      <c r="AB1725" s="16"/>
    </row>
    <row r="1726" spans="3:28" ht="12.75">
      <c r="C1726" s="16"/>
      <c r="D1726" s="16"/>
      <c r="E1726" s="16"/>
      <c r="F1726" s="16"/>
      <c r="G1726" s="16"/>
      <c r="H1726" s="16"/>
      <c r="I1726" s="16"/>
      <c r="J1726" s="16"/>
      <c r="K1726" s="16"/>
      <c r="L1726" s="16"/>
      <c r="M1726" s="16"/>
      <c r="N1726" s="16"/>
      <c r="O1726" s="16"/>
      <c r="P1726" s="16"/>
      <c r="Q1726" s="16"/>
      <c r="R1726" s="16"/>
      <c r="S1726" s="16"/>
      <c r="T1726" s="16"/>
      <c r="U1726" s="16"/>
      <c r="V1726" s="16"/>
      <c r="W1726" s="16"/>
      <c r="X1726" s="16"/>
      <c r="Y1726" s="16"/>
      <c r="Z1726" s="16"/>
      <c r="AA1726" s="16"/>
      <c r="AB1726" s="16"/>
    </row>
    <row r="1727" spans="3:28" ht="12.75">
      <c r="C1727" s="16"/>
      <c r="D1727" s="16"/>
      <c r="E1727" s="16"/>
      <c r="F1727" s="16"/>
      <c r="G1727" s="16"/>
      <c r="H1727" s="16"/>
      <c r="I1727" s="16"/>
      <c r="J1727" s="16"/>
      <c r="K1727" s="16"/>
      <c r="L1727" s="16"/>
      <c r="M1727" s="16"/>
      <c r="N1727" s="16"/>
      <c r="O1727" s="16"/>
      <c r="P1727" s="16"/>
      <c r="Q1727" s="16"/>
      <c r="R1727" s="16"/>
      <c r="S1727" s="16"/>
      <c r="T1727" s="16"/>
      <c r="U1727" s="16"/>
      <c r="V1727" s="16"/>
      <c r="W1727" s="16"/>
      <c r="X1727" s="16"/>
      <c r="Y1727" s="16"/>
      <c r="Z1727" s="16"/>
      <c r="AA1727" s="16"/>
      <c r="AB1727" s="16"/>
    </row>
    <row r="1728" spans="3:28" ht="12.75">
      <c r="C1728" s="16"/>
      <c r="D1728" s="16"/>
      <c r="E1728" s="16"/>
      <c r="F1728" s="16"/>
      <c r="G1728" s="16"/>
      <c r="H1728" s="16"/>
      <c r="I1728" s="16"/>
      <c r="J1728" s="16"/>
      <c r="K1728" s="16"/>
      <c r="L1728" s="16"/>
      <c r="M1728" s="16"/>
      <c r="N1728" s="16"/>
      <c r="O1728" s="16"/>
      <c r="P1728" s="16"/>
      <c r="Q1728" s="16"/>
      <c r="R1728" s="16"/>
      <c r="S1728" s="16"/>
      <c r="T1728" s="16"/>
      <c r="U1728" s="16"/>
      <c r="V1728" s="16"/>
      <c r="W1728" s="16"/>
      <c r="X1728" s="16"/>
      <c r="Y1728" s="16"/>
      <c r="Z1728" s="16"/>
      <c r="AA1728" s="16"/>
      <c r="AB1728" s="16"/>
    </row>
    <row r="1729" spans="3:28" ht="12.75">
      <c r="C1729" s="16"/>
      <c r="D1729" s="16"/>
      <c r="E1729" s="16"/>
      <c r="F1729" s="16"/>
      <c r="G1729" s="16"/>
      <c r="H1729" s="16"/>
      <c r="I1729" s="16"/>
      <c r="J1729" s="16"/>
      <c r="K1729" s="16"/>
      <c r="L1729" s="16"/>
      <c r="M1729" s="16"/>
      <c r="N1729" s="16"/>
      <c r="O1729" s="16"/>
      <c r="P1729" s="16"/>
      <c r="Q1729" s="16"/>
      <c r="R1729" s="16"/>
      <c r="S1729" s="16"/>
      <c r="T1729" s="16"/>
      <c r="U1729" s="16"/>
      <c r="V1729" s="16"/>
      <c r="W1729" s="16"/>
      <c r="X1729" s="16"/>
      <c r="Y1729" s="16"/>
      <c r="Z1729" s="16"/>
      <c r="AA1729" s="16"/>
      <c r="AB1729" s="16"/>
    </row>
    <row r="1730" spans="3:28" ht="12.75">
      <c r="C1730" s="16"/>
      <c r="D1730" s="16"/>
      <c r="E1730" s="16"/>
      <c r="F1730" s="16"/>
      <c r="G1730" s="16"/>
      <c r="H1730" s="16"/>
      <c r="I1730" s="16"/>
      <c r="J1730" s="16"/>
      <c r="K1730" s="16"/>
      <c r="L1730" s="16"/>
      <c r="M1730" s="16"/>
      <c r="N1730" s="16"/>
      <c r="O1730" s="16"/>
      <c r="P1730" s="16"/>
      <c r="Q1730" s="16"/>
      <c r="R1730" s="16"/>
      <c r="S1730" s="16"/>
      <c r="T1730" s="16"/>
      <c r="U1730" s="16"/>
      <c r="V1730" s="16"/>
      <c r="W1730" s="16"/>
      <c r="X1730" s="16"/>
      <c r="Y1730" s="16"/>
      <c r="Z1730" s="16"/>
      <c r="AA1730" s="16"/>
      <c r="AB1730" s="16"/>
    </row>
    <row r="1731" spans="3:28" ht="12.75">
      <c r="C1731" s="16"/>
      <c r="D1731" s="16"/>
      <c r="E1731" s="16"/>
      <c r="F1731" s="16"/>
      <c r="G1731" s="16"/>
      <c r="H1731" s="16"/>
      <c r="I1731" s="16"/>
      <c r="J1731" s="16"/>
      <c r="K1731" s="16"/>
      <c r="L1731" s="16"/>
      <c r="M1731" s="16"/>
      <c r="N1731" s="16"/>
      <c r="O1731" s="16"/>
      <c r="P1731" s="16"/>
      <c r="Q1731" s="16"/>
      <c r="R1731" s="16"/>
      <c r="S1731" s="16"/>
      <c r="T1731" s="16"/>
      <c r="U1731" s="16"/>
      <c r="V1731" s="16"/>
      <c r="W1731" s="16"/>
      <c r="X1731" s="16"/>
      <c r="Y1731" s="16"/>
      <c r="Z1731" s="16"/>
      <c r="AA1731" s="16"/>
      <c r="AB1731" s="16"/>
    </row>
    <row r="1732" spans="3:28" ht="12.75">
      <c r="C1732" s="16"/>
      <c r="D1732" s="16"/>
      <c r="E1732" s="16"/>
      <c r="F1732" s="16"/>
      <c r="G1732" s="16"/>
      <c r="H1732" s="16"/>
      <c r="I1732" s="16"/>
      <c r="J1732" s="16"/>
      <c r="K1732" s="16"/>
      <c r="L1732" s="16"/>
      <c r="M1732" s="16"/>
      <c r="N1732" s="16"/>
      <c r="O1732" s="16"/>
      <c r="P1732" s="16"/>
      <c r="Q1732" s="16"/>
      <c r="R1732" s="16"/>
      <c r="S1732" s="16"/>
      <c r="T1732" s="16"/>
      <c r="U1732" s="16"/>
      <c r="V1732" s="16"/>
      <c r="W1732" s="16"/>
      <c r="X1732" s="16"/>
      <c r="Y1732" s="16"/>
      <c r="Z1732" s="16"/>
      <c r="AA1732" s="16"/>
      <c r="AB1732" s="16"/>
    </row>
    <row r="1733" spans="3:28" ht="12.75">
      <c r="C1733" s="16"/>
      <c r="D1733" s="16"/>
      <c r="E1733" s="16"/>
      <c r="F1733" s="16"/>
      <c r="G1733" s="16"/>
      <c r="H1733" s="16"/>
      <c r="I1733" s="16"/>
      <c r="J1733" s="16"/>
      <c r="K1733" s="16"/>
      <c r="L1733" s="16"/>
      <c r="M1733" s="16"/>
      <c r="N1733" s="16"/>
      <c r="O1733" s="16"/>
      <c r="P1733" s="16"/>
      <c r="Q1733" s="16"/>
      <c r="R1733" s="16"/>
      <c r="S1733" s="16"/>
      <c r="T1733" s="16"/>
      <c r="U1733" s="16"/>
      <c r="V1733" s="16"/>
      <c r="W1733" s="16"/>
      <c r="X1733" s="16"/>
      <c r="Y1733" s="16"/>
      <c r="Z1733" s="16"/>
      <c r="AA1733" s="16"/>
      <c r="AB1733" s="16"/>
    </row>
    <row r="1734" spans="3:28" ht="12.75">
      <c r="C1734" s="16"/>
      <c r="D1734" s="16"/>
      <c r="E1734" s="16"/>
      <c r="F1734" s="16"/>
      <c r="G1734" s="16"/>
      <c r="H1734" s="16"/>
      <c r="I1734" s="16"/>
      <c r="J1734" s="16"/>
      <c r="K1734" s="16"/>
      <c r="L1734" s="16"/>
      <c r="M1734" s="16"/>
      <c r="N1734" s="16"/>
      <c r="O1734" s="16"/>
      <c r="P1734" s="16"/>
      <c r="Q1734" s="16"/>
      <c r="R1734" s="16"/>
      <c r="S1734" s="16"/>
      <c r="T1734" s="16"/>
      <c r="U1734" s="16"/>
      <c r="V1734" s="16"/>
      <c r="W1734" s="16"/>
      <c r="X1734" s="16"/>
      <c r="Y1734" s="16"/>
      <c r="Z1734" s="16"/>
      <c r="AA1734" s="16"/>
      <c r="AB1734" s="16"/>
    </row>
    <row r="1735" spans="3:28" ht="12.75">
      <c r="C1735" s="16"/>
      <c r="D1735" s="16"/>
      <c r="E1735" s="16"/>
      <c r="F1735" s="16"/>
      <c r="G1735" s="16"/>
      <c r="H1735" s="16"/>
      <c r="I1735" s="16"/>
      <c r="J1735" s="16"/>
      <c r="K1735" s="16"/>
      <c r="L1735" s="16"/>
      <c r="M1735" s="16"/>
      <c r="N1735" s="16"/>
      <c r="O1735" s="16"/>
      <c r="P1735" s="16"/>
      <c r="Q1735" s="16"/>
      <c r="R1735" s="16"/>
      <c r="S1735" s="16"/>
      <c r="T1735" s="16"/>
      <c r="U1735" s="16"/>
      <c r="V1735" s="16"/>
      <c r="W1735" s="16"/>
      <c r="X1735" s="16"/>
      <c r="Y1735" s="16"/>
      <c r="Z1735" s="16"/>
      <c r="AA1735" s="16"/>
      <c r="AB1735" s="16"/>
    </row>
    <row r="1736" spans="3:28" ht="12.75">
      <c r="C1736" s="16"/>
      <c r="D1736" s="16"/>
      <c r="E1736" s="16"/>
      <c r="F1736" s="16"/>
      <c r="G1736" s="16"/>
      <c r="H1736" s="16"/>
      <c r="I1736" s="16"/>
      <c r="J1736" s="16"/>
      <c r="K1736" s="16"/>
      <c r="L1736" s="16"/>
      <c r="M1736" s="16"/>
      <c r="N1736" s="16"/>
      <c r="O1736" s="16"/>
      <c r="P1736" s="16"/>
      <c r="Q1736" s="16"/>
      <c r="R1736" s="16"/>
      <c r="S1736" s="16"/>
      <c r="T1736" s="16"/>
      <c r="U1736" s="16"/>
      <c r="V1736" s="16"/>
      <c r="W1736" s="16"/>
      <c r="X1736" s="16"/>
      <c r="Y1736" s="16"/>
      <c r="Z1736" s="16"/>
      <c r="AA1736" s="16"/>
      <c r="AB1736" s="16"/>
    </row>
    <row r="1737" spans="3:28" ht="12.75">
      <c r="C1737" s="16"/>
      <c r="D1737" s="16"/>
      <c r="E1737" s="16"/>
      <c r="F1737" s="16"/>
      <c r="G1737" s="16"/>
      <c r="H1737" s="16"/>
      <c r="I1737" s="16"/>
      <c r="J1737" s="16"/>
      <c r="K1737" s="16"/>
      <c r="L1737" s="16"/>
      <c r="M1737" s="16"/>
      <c r="N1737" s="16"/>
      <c r="O1737" s="16"/>
      <c r="P1737" s="16"/>
      <c r="Q1737" s="16"/>
      <c r="R1737" s="16"/>
      <c r="S1737" s="16"/>
      <c r="T1737" s="16"/>
      <c r="U1737" s="16"/>
      <c r="V1737" s="16"/>
      <c r="W1737" s="16"/>
      <c r="X1737" s="16"/>
      <c r="Y1737" s="16"/>
      <c r="Z1737" s="16"/>
      <c r="AA1737" s="16"/>
      <c r="AB1737" s="16"/>
    </row>
    <row r="1738" spans="3:28" ht="12.75">
      <c r="C1738" s="16"/>
      <c r="D1738" s="16"/>
      <c r="E1738" s="16"/>
      <c r="F1738" s="16"/>
      <c r="G1738" s="16"/>
      <c r="H1738" s="16"/>
      <c r="I1738" s="16"/>
      <c r="J1738" s="16"/>
      <c r="K1738" s="16"/>
      <c r="L1738" s="16"/>
      <c r="M1738" s="16"/>
      <c r="N1738" s="16"/>
      <c r="O1738" s="16"/>
      <c r="P1738" s="16"/>
      <c r="Q1738" s="16"/>
      <c r="R1738" s="16"/>
      <c r="S1738" s="16"/>
      <c r="T1738" s="16"/>
      <c r="U1738" s="16"/>
      <c r="V1738" s="16"/>
      <c r="W1738" s="16"/>
      <c r="X1738" s="16"/>
      <c r="Y1738" s="16"/>
      <c r="Z1738" s="16"/>
      <c r="AA1738" s="16"/>
      <c r="AB1738" s="16"/>
    </row>
    <row r="1739" spans="3:28" ht="12.75">
      <c r="C1739" s="16"/>
      <c r="D1739" s="16"/>
      <c r="E1739" s="16"/>
      <c r="F1739" s="16"/>
      <c r="G1739" s="16"/>
      <c r="H1739" s="16"/>
      <c r="I1739" s="16"/>
      <c r="J1739" s="16"/>
      <c r="K1739" s="16"/>
      <c r="L1739" s="16"/>
      <c r="M1739" s="16"/>
      <c r="N1739" s="16"/>
      <c r="O1739" s="16"/>
      <c r="P1739" s="16"/>
      <c r="Q1739" s="16"/>
      <c r="R1739" s="16"/>
      <c r="S1739" s="16"/>
      <c r="T1739" s="16"/>
      <c r="U1739" s="16"/>
      <c r="V1739" s="16"/>
      <c r="W1739" s="16"/>
      <c r="X1739" s="16"/>
      <c r="Y1739" s="16"/>
      <c r="Z1739" s="16"/>
      <c r="AA1739" s="16"/>
      <c r="AB1739" s="16"/>
    </row>
    <row r="1740" spans="3:28" ht="12.75">
      <c r="C1740" s="16"/>
      <c r="D1740" s="16"/>
      <c r="E1740" s="16"/>
      <c r="F1740" s="16"/>
      <c r="G1740" s="16"/>
      <c r="H1740" s="16"/>
      <c r="I1740" s="16"/>
      <c r="J1740" s="16"/>
      <c r="K1740" s="16"/>
      <c r="L1740" s="16"/>
      <c r="M1740" s="16"/>
      <c r="N1740" s="16"/>
      <c r="O1740" s="16"/>
      <c r="P1740" s="16"/>
      <c r="Q1740" s="16"/>
      <c r="R1740" s="16"/>
      <c r="S1740" s="16"/>
      <c r="T1740" s="16"/>
      <c r="U1740" s="16"/>
      <c r="V1740" s="16"/>
      <c r="W1740" s="16"/>
      <c r="X1740" s="16"/>
      <c r="Y1740" s="16"/>
      <c r="Z1740" s="16"/>
      <c r="AA1740" s="16"/>
      <c r="AB1740" s="16"/>
    </row>
    <row r="1741" spans="3:28" ht="12.75">
      <c r="C1741" s="16"/>
      <c r="D1741" s="16"/>
      <c r="E1741" s="16"/>
      <c r="F1741" s="16"/>
      <c r="G1741" s="16"/>
      <c r="H1741" s="16"/>
      <c r="I1741" s="16"/>
      <c r="J1741" s="16"/>
      <c r="K1741" s="16"/>
      <c r="L1741" s="16"/>
      <c r="M1741" s="16"/>
      <c r="N1741" s="16"/>
      <c r="O1741" s="16"/>
      <c r="P1741" s="16"/>
      <c r="Q1741" s="16"/>
      <c r="R1741" s="16"/>
      <c r="S1741" s="16"/>
      <c r="T1741" s="16"/>
      <c r="U1741" s="16"/>
      <c r="V1741" s="16"/>
      <c r="W1741" s="16"/>
      <c r="X1741" s="16"/>
      <c r="Y1741" s="16"/>
      <c r="Z1741" s="16"/>
      <c r="AA1741" s="16"/>
      <c r="AB1741" s="16"/>
    </row>
    <row r="1742" spans="3:28" ht="12.75">
      <c r="C1742" s="16"/>
      <c r="D1742" s="16"/>
      <c r="E1742" s="16"/>
      <c r="F1742" s="16"/>
      <c r="G1742" s="16"/>
      <c r="H1742" s="16"/>
      <c r="I1742" s="16"/>
      <c r="J1742" s="16"/>
      <c r="K1742" s="16"/>
      <c r="L1742" s="16"/>
      <c r="M1742" s="16"/>
      <c r="N1742" s="16"/>
      <c r="O1742" s="16"/>
      <c r="P1742" s="16"/>
      <c r="Q1742" s="16"/>
      <c r="R1742" s="16"/>
      <c r="S1742" s="16"/>
      <c r="T1742" s="16"/>
      <c r="U1742" s="16"/>
      <c r="V1742" s="16"/>
      <c r="W1742" s="16"/>
      <c r="X1742" s="16"/>
      <c r="Y1742" s="16"/>
      <c r="Z1742" s="16"/>
      <c r="AA1742" s="16"/>
      <c r="AB1742" s="16"/>
    </row>
    <row r="1743" spans="3:28" ht="12.75">
      <c r="C1743" s="16"/>
      <c r="D1743" s="16"/>
      <c r="E1743" s="16"/>
      <c r="F1743" s="16"/>
      <c r="G1743" s="16"/>
      <c r="H1743" s="16"/>
      <c r="I1743" s="16"/>
      <c r="J1743" s="16"/>
      <c r="K1743" s="16"/>
      <c r="L1743" s="16"/>
      <c r="M1743" s="16"/>
      <c r="N1743" s="16"/>
      <c r="O1743" s="16"/>
      <c r="P1743" s="16"/>
      <c r="Q1743" s="16"/>
      <c r="R1743" s="16"/>
      <c r="S1743" s="16"/>
      <c r="T1743" s="16"/>
      <c r="U1743" s="16"/>
      <c r="V1743" s="16"/>
      <c r="W1743" s="16"/>
      <c r="X1743" s="16"/>
      <c r="Y1743" s="16"/>
      <c r="Z1743" s="16"/>
      <c r="AA1743" s="16"/>
      <c r="AB1743" s="16"/>
    </row>
    <row r="1744" spans="3:28" ht="12.75">
      <c r="C1744" s="16"/>
      <c r="D1744" s="16"/>
      <c r="E1744" s="16"/>
      <c r="F1744" s="16"/>
      <c r="G1744" s="16"/>
      <c r="H1744" s="16"/>
      <c r="I1744" s="16"/>
      <c r="J1744" s="16"/>
      <c r="K1744" s="16"/>
      <c r="L1744" s="16"/>
      <c r="M1744" s="16"/>
      <c r="N1744" s="16"/>
      <c r="O1744" s="16"/>
      <c r="P1744" s="16"/>
      <c r="Q1744" s="16"/>
      <c r="R1744" s="16"/>
      <c r="S1744" s="16"/>
      <c r="T1744" s="16"/>
      <c r="U1744" s="16"/>
      <c r="V1744" s="16"/>
      <c r="W1744" s="16"/>
      <c r="X1744" s="16"/>
      <c r="Y1744" s="16"/>
      <c r="Z1744" s="16"/>
      <c r="AA1744" s="16"/>
      <c r="AB1744" s="16"/>
    </row>
    <row r="1745" spans="3:28" ht="12.75">
      <c r="C1745" s="16"/>
      <c r="D1745" s="16"/>
      <c r="E1745" s="16"/>
      <c r="F1745" s="16"/>
      <c r="G1745" s="16"/>
      <c r="H1745" s="16"/>
      <c r="I1745" s="16"/>
      <c r="J1745" s="16"/>
      <c r="K1745" s="16"/>
      <c r="L1745" s="16"/>
      <c r="M1745" s="16"/>
      <c r="N1745" s="16"/>
      <c r="O1745" s="16"/>
      <c r="P1745" s="16"/>
      <c r="Q1745" s="16"/>
      <c r="R1745" s="16"/>
      <c r="S1745" s="16"/>
      <c r="T1745" s="16"/>
      <c r="U1745" s="16"/>
      <c r="V1745" s="16"/>
      <c r="W1745" s="16"/>
      <c r="X1745" s="16"/>
      <c r="Y1745" s="16"/>
      <c r="Z1745" s="16"/>
      <c r="AA1745" s="16"/>
      <c r="AB1745" s="16"/>
    </row>
    <row r="1746" spans="3:28" ht="12.75">
      <c r="C1746" s="16"/>
      <c r="D1746" s="16"/>
      <c r="E1746" s="16"/>
      <c r="F1746" s="16"/>
      <c r="G1746" s="16"/>
      <c r="H1746" s="16"/>
      <c r="I1746" s="16"/>
      <c r="J1746" s="16"/>
      <c r="K1746" s="16"/>
      <c r="L1746" s="16"/>
      <c r="M1746" s="16"/>
      <c r="N1746" s="16"/>
      <c r="O1746" s="16"/>
      <c r="P1746" s="16"/>
      <c r="Q1746" s="16"/>
      <c r="R1746" s="16"/>
      <c r="S1746" s="16"/>
      <c r="T1746" s="16"/>
      <c r="U1746" s="16"/>
      <c r="V1746" s="16"/>
      <c r="W1746" s="16"/>
      <c r="X1746" s="16"/>
      <c r="Y1746" s="16"/>
      <c r="Z1746" s="16"/>
      <c r="AA1746" s="16"/>
      <c r="AB1746" s="16"/>
    </row>
    <row r="1747" spans="3:28" ht="12.75">
      <c r="C1747" s="16"/>
      <c r="D1747" s="16"/>
      <c r="E1747" s="16"/>
      <c r="F1747" s="16"/>
      <c r="G1747" s="16"/>
      <c r="H1747" s="16"/>
      <c r="I1747" s="16"/>
      <c r="J1747" s="16"/>
      <c r="K1747" s="16"/>
      <c r="L1747" s="16"/>
      <c r="M1747" s="16"/>
      <c r="N1747" s="16"/>
      <c r="O1747" s="16"/>
      <c r="P1747" s="16"/>
      <c r="Q1747" s="16"/>
      <c r="R1747" s="16"/>
      <c r="S1747" s="16"/>
      <c r="T1747" s="16"/>
      <c r="U1747" s="16"/>
      <c r="V1747" s="16"/>
      <c r="W1747" s="16"/>
      <c r="X1747" s="16"/>
      <c r="Y1747" s="16"/>
      <c r="Z1747" s="16"/>
      <c r="AA1747" s="16"/>
      <c r="AB1747" s="16"/>
    </row>
    <row r="1748" spans="3:28" ht="12.75">
      <c r="C1748" s="16"/>
      <c r="D1748" s="16"/>
      <c r="E1748" s="16"/>
      <c r="F1748" s="16"/>
      <c r="G1748" s="16"/>
      <c r="H1748" s="16"/>
      <c r="I1748" s="16"/>
      <c r="J1748" s="16"/>
      <c r="K1748" s="16"/>
      <c r="L1748" s="16"/>
      <c r="M1748" s="16"/>
      <c r="N1748" s="16"/>
      <c r="O1748" s="16"/>
      <c r="P1748" s="16"/>
      <c r="Q1748" s="16"/>
      <c r="R1748" s="16"/>
      <c r="S1748" s="16"/>
      <c r="T1748" s="16"/>
      <c r="U1748" s="16"/>
      <c r="V1748" s="16"/>
      <c r="W1748" s="16"/>
      <c r="X1748" s="16"/>
      <c r="Y1748" s="16"/>
      <c r="Z1748" s="16"/>
      <c r="AA1748" s="16"/>
      <c r="AB1748" s="16"/>
    </row>
    <row r="1749" spans="3:28" ht="12.75">
      <c r="C1749" s="16"/>
      <c r="D1749" s="16"/>
      <c r="E1749" s="16"/>
      <c r="F1749" s="16"/>
      <c r="G1749" s="16"/>
      <c r="H1749" s="16"/>
      <c r="I1749" s="16"/>
      <c r="J1749" s="16"/>
      <c r="K1749" s="16"/>
      <c r="L1749" s="16"/>
      <c r="M1749" s="16"/>
      <c r="N1749" s="16"/>
      <c r="O1749" s="16"/>
      <c r="P1749" s="16"/>
      <c r="Q1749" s="16"/>
      <c r="R1749" s="16"/>
      <c r="S1749" s="16"/>
      <c r="T1749" s="16"/>
      <c r="U1749" s="16"/>
      <c r="V1749" s="16"/>
      <c r="W1749" s="16"/>
      <c r="X1749" s="16"/>
      <c r="Y1749" s="16"/>
      <c r="Z1749" s="16"/>
      <c r="AA1749" s="16"/>
      <c r="AB1749" s="16"/>
    </row>
    <row r="1750" spans="3:28" ht="12.75">
      <c r="C1750" s="16"/>
      <c r="D1750" s="16"/>
      <c r="E1750" s="16"/>
      <c r="F1750" s="16"/>
      <c r="G1750" s="16"/>
      <c r="H1750" s="16"/>
      <c r="I1750" s="16"/>
      <c r="J1750" s="16"/>
      <c r="K1750" s="16"/>
      <c r="L1750" s="16"/>
      <c r="M1750" s="16"/>
      <c r="N1750" s="16"/>
      <c r="O1750" s="16"/>
      <c r="P1750" s="16"/>
      <c r="Q1750" s="16"/>
      <c r="R1750" s="16"/>
      <c r="S1750" s="16"/>
      <c r="T1750" s="16"/>
      <c r="U1750" s="16"/>
      <c r="V1750" s="16"/>
      <c r="W1750" s="16"/>
      <c r="X1750" s="16"/>
      <c r="Y1750" s="16"/>
      <c r="Z1750" s="16"/>
      <c r="AA1750" s="16"/>
      <c r="AB1750" s="16"/>
    </row>
    <row r="1751" spans="3:28" ht="12.75">
      <c r="C1751" s="16"/>
      <c r="D1751" s="16"/>
      <c r="E1751" s="16"/>
      <c r="F1751" s="16"/>
      <c r="G1751" s="16"/>
      <c r="H1751" s="16"/>
      <c r="I1751" s="16"/>
      <c r="J1751" s="16"/>
      <c r="K1751" s="16"/>
      <c r="L1751" s="16"/>
      <c r="M1751" s="16"/>
      <c r="N1751" s="16"/>
      <c r="O1751" s="16"/>
      <c r="P1751" s="16"/>
      <c r="Q1751" s="16"/>
      <c r="R1751" s="16"/>
      <c r="S1751" s="16"/>
      <c r="T1751" s="16"/>
      <c r="U1751" s="16"/>
      <c r="V1751" s="16"/>
      <c r="W1751" s="16"/>
      <c r="X1751" s="16"/>
      <c r="Y1751" s="16"/>
      <c r="Z1751" s="16"/>
      <c r="AA1751" s="16"/>
      <c r="AB1751" s="16"/>
    </row>
    <row r="1752" spans="3:28" ht="12.75">
      <c r="C1752" s="16"/>
      <c r="D1752" s="16"/>
      <c r="E1752" s="16"/>
      <c r="F1752" s="16"/>
      <c r="G1752" s="16"/>
      <c r="H1752" s="16"/>
      <c r="I1752" s="16"/>
      <c r="J1752" s="16"/>
      <c r="K1752" s="16"/>
      <c r="L1752" s="16"/>
      <c r="M1752" s="16"/>
      <c r="N1752" s="16"/>
      <c r="O1752" s="16"/>
      <c r="P1752" s="16"/>
      <c r="Q1752" s="16"/>
      <c r="R1752" s="16"/>
      <c r="S1752" s="16"/>
      <c r="T1752" s="16"/>
      <c r="U1752" s="16"/>
      <c r="V1752" s="16"/>
      <c r="W1752" s="16"/>
      <c r="X1752" s="16"/>
      <c r="Y1752" s="16"/>
      <c r="Z1752" s="16"/>
      <c r="AA1752" s="16"/>
      <c r="AB1752" s="16"/>
    </row>
    <row r="1753" spans="3:28" ht="12.75">
      <c r="C1753" s="16"/>
      <c r="D1753" s="16"/>
      <c r="E1753" s="16"/>
      <c r="F1753" s="16"/>
      <c r="G1753" s="16"/>
      <c r="H1753" s="16"/>
      <c r="I1753" s="16"/>
      <c r="J1753" s="16"/>
      <c r="K1753" s="16"/>
      <c r="L1753" s="16"/>
      <c r="M1753" s="16"/>
      <c r="N1753" s="16"/>
      <c r="O1753" s="16"/>
      <c r="P1753" s="16"/>
      <c r="Q1753" s="16"/>
      <c r="R1753" s="16"/>
      <c r="S1753" s="16"/>
      <c r="T1753" s="16"/>
      <c r="U1753" s="16"/>
      <c r="V1753" s="16"/>
      <c r="W1753" s="16"/>
      <c r="X1753" s="16"/>
      <c r="Y1753" s="16"/>
      <c r="Z1753" s="16"/>
      <c r="AA1753" s="16"/>
      <c r="AB1753" s="16"/>
    </row>
    <row r="1754" spans="3:28" ht="12.75">
      <c r="C1754" s="16"/>
      <c r="D1754" s="16"/>
      <c r="E1754" s="16"/>
      <c r="F1754" s="16"/>
      <c r="G1754" s="16"/>
      <c r="H1754" s="16"/>
      <c r="I1754" s="16"/>
      <c r="J1754" s="16"/>
      <c r="K1754" s="16"/>
      <c r="L1754" s="16"/>
      <c r="M1754" s="16"/>
      <c r="N1754" s="16"/>
      <c r="O1754" s="16"/>
      <c r="P1754" s="16"/>
      <c r="Q1754" s="16"/>
      <c r="R1754" s="16"/>
      <c r="S1754" s="16"/>
      <c r="T1754" s="16"/>
      <c r="U1754" s="16"/>
      <c r="V1754" s="16"/>
      <c r="W1754" s="16"/>
      <c r="X1754" s="16"/>
      <c r="Y1754" s="16"/>
      <c r="Z1754" s="16"/>
      <c r="AA1754" s="16"/>
      <c r="AB1754" s="16"/>
    </row>
    <row r="1755" spans="3:28" ht="12.75">
      <c r="C1755" s="16"/>
      <c r="D1755" s="16"/>
      <c r="E1755" s="16"/>
      <c r="F1755" s="16"/>
      <c r="G1755" s="16"/>
      <c r="H1755" s="16"/>
      <c r="I1755" s="16"/>
      <c r="J1755" s="16"/>
      <c r="K1755" s="16"/>
      <c r="L1755" s="16"/>
      <c r="M1755" s="16"/>
      <c r="N1755" s="16"/>
      <c r="O1755" s="16"/>
      <c r="P1755" s="16"/>
      <c r="Q1755" s="16"/>
      <c r="R1755" s="16"/>
      <c r="S1755" s="16"/>
      <c r="T1755" s="16"/>
      <c r="U1755" s="16"/>
      <c r="V1755" s="16"/>
      <c r="W1755" s="16"/>
      <c r="X1755" s="16"/>
      <c r="Y1755" s="16"/>
      <c r="Z1755" s="16"/>
      <c r="AA1755" s="16"/>
      <c r="AB1755" s="16"/>
    </row>
    <row r="1756" spans="3:28" ht="12.75">
      <c r="C1756" s="16"/>
      <c r="D1756" s="16"/>
      <c r="E1756" s="16"/>
      <c r="F1756" s="16"/>
      <c r="G1756" s="16"/>
      <c r="H1756" s="16"/>
      <c r="I1756" s="16"/>
      <c r="J1756" s="16"/>
      <c r="K1756" s="16"/>
      <c r="L1756" s="16"/>
      <c r="M1756" s="16"/>
      <c r="N1756" s="16"/>
      <c r="O1756" s="16"/>
      <c r="P1756" s="16"/>
      <c r="Q1756" s="16"/>
      <c r="R1756" s="16"/>
      <c r="S1756" s="16"/>
      <c r="T1756" s="16"/>
      <c r="U1756" s="16"/>
      <c r="V1756" s="16"/>
      <c r="W1756" s="16"/>
      <c r="X1756" s="16"/>
      <c r="Y1756" s="16"/>
      <c r="Z1756" s="16"/>
      <c r="AA1756" s="16"/>
      <c r="AB1756" s="16"/>
    </row>
    <row r="1757" spans="3:28" ht="12.75">
      <c r="C1757" s="16"/>
      <c r="D1757" s="16"/>
      <c r="E1757" s="16"/>
      <c r="F1757" s="16"/>
      <c r="G1757" s="16"/>
      <c r="H1757" s="16"/>
      <c r="I1757" s="16"/>
      <c r="J1757" s="16"/>
      <c r="K1757" s="16"/>
      <c r="L1757" s="16"/>
      <c r="M1757" s="16"/>
      <c r="N1757" s="16"/>
      <c r="O1757" s="16"/>
      <c r="P1757" s="16"/>
      <c r="Q1757" s="16"/>
      <c r="R1757" s="16"/>
      <c r="S1757" s="16"/>
      <c r="T1757" s="16"/>
      <c r="U1757" s="16"/>
      <c r="V1757" s="16"/>
      <c r="W1757" s="16"/>
      <c r="X1757" s="16"/>
      <c r="Y1757" s="16"/>
      <c r="Z1757" s="16"/>
      <c r="AA1757" s="16"/>
      <c r="AB1757" s="16"/>
    </row>
    <row r="1758" spans="3:28" ht="12.75">
      <c r="C1758" s="16"/>
      <c r="D1758" s="16"/>
      <c r="E1758" s="16"/>
      <c r="F1758" s="16"/>
      <c r="G1758" s="16"/>
      <c r="H1758" s="16"/>
      <c r="I1758" s="16"/>
      <c r="J1758" s="16"/>
      <c r="K1758" s="16"/>
      <c r="L1758" s="16"/>
      <c r="M1758" s="16"/>
      <c r="N1758" s="16"/>
      <c r="O1758" s="16"/>
      <c r="P1758" s="16"/>
      <c r="Q1758" s="16"/>
      <c r="R1758" s="16"/>
      <c r="S1758" s="16"/>
      <c r="T1758" s="16"/>
      <c r="U1758" s="16"/>
      <c r="V1758" s="16"/>
      <c r="W1758" s="16"/>
      <c r="X1758" s="16"/>
      <c r="Y1758" s="16"/>
      <c r="Z1758" s="16"/>
      <c r="AA1758" s="16"/>
      <c r="AB1758" s="16"/>
    </row>
    <row r="1759" spans="3:28" ht="12.75">
      <c r="C1759" s="16"/>
      <c r="D1759" s="16"/>
      <c r="E1759" s="16"/>
      <c r="F1759" s="16"/>
      <c r="G1759" s="16"/>
      <c r="H1759" s="16"/>
      <c r="I1759" s="16"/>
      <c r="J1759" s="16"/>
      <c r="K1759" s="16"/>
      <c r="L1759" s="16"/>
      <c r="M1759" s="16"/>
      <c r="N1759" s="16"/>
      <c r="O1759" s="16"/>
      <c r="P1759" s="16"/>
      <c r="Q1759" s="16"/>
      <c r="R1759" s="16"/>
      <c r="S1759" s="16"/>
      <c r="T1759" s="16"/>
      <c r="U1759" s="16"/>
      <c r="V1759" s="16"/>
      <c r="W1759" s="16"/>
      <c r="X1759" s="16"/>
      <c r="Y1759" s="16"/>
      <c r="Z1759" s="16"/>
      <c r="AA1759" s="16"/>
      <c r="AB1759" s="16"/>
    </row>
    <row r="1760" spans="3:28" ht="12.75">
      <c r="C1760" s="16"/>
      <c r="D1760" s="16"/>
      <c r="E1760" s="16"/>
      <c r="F1760" s="16"/>
      <c r="G1760" s="16"/>
      <c r="H1760" s="16"/>
      <c r="I1760" s="16"/>
      <c r="J1760" s="16"/>
      <c r="K1760" s="16"/>
      <c r="L1760" s="16"/>
      <c r="M1760" s="16"/>
      <c r="N1760" s="16"/>
      <c r="O1760" s="16"/>
      <c r="P1760" s="16"/>
      <c r="Q1760" s="16"/>
      <c r="R1760" s="16"/>
      <c r="S1760" s="16"/>
      <c r="T1760" s="16"/>
      <c r="U1760" s="16"/>
      <c r="V1760" s="16"/>
      <c r="W1760" s="16"/>
      <c r="X1760" s="16"/>
      <c r="Y1760" s="16"/>
      <c r="Z1760" s="16"/>
      <c r="AA1760" s="16"/>
      <c r="AB1760" s="16"/>
    </row>
    <row r="1761" spans="3:28" ht="12.75">
      <c r="C1761" s="16"/>
      <c r="D1761" s="16"/>
      <c r="E1761" s="16"/>
      <c r="F1761" s="16"/>
      <c r="G1761" s="16"/>
      <c r="H1761" s="16"/>
      <c r="I1761" s="16"/>
      <c r="J1761" s="16"/>
      <c r="K1761" s="16"/>
      <c r="L1761" s="16"/>
      <c r="M1761" s="16"/>
      <c r="N1761" s="16"/>
      <c r="O1761" s="16"/>
      <c r="P1761" s="16"/>
      <c r="Q1761" s="16"/>
      <c r="R1761" s="16"/>
      <c r="S1761" s="16"/>
      <c r="T1761" s="16"/>
      <c r="U1761" s="16"/>
      <c r="V1761" s="16"/>
      <c r="W1761" s="16"/>
      <c r="X1761" s="16"/>
      <c r="Y1761" s="16"/>
      <c r="Z1761" s="16"/>
      <c r="AA1761" s="16"/>
      <c r="AB1761" s="16"/>
    </row>
    <row r="1762" spans="3:28" ht="12.75">
      <c r="C1762" s="16"/>
      <c r="D1762" s="16"/>
      <c r="E1762" s="16"/>
      <c r="F1762" s="16"/>
      <c r="G1762" s="16"/>
      <c r="H1762" s="16"/>
      <c r="I1762" s="16"/>
      <c r="J1762" s="16"/>
      <c r="K1762" s="16"/>
      <c r="L1762" s="16"/>
      <c r="M1762" s="16"/>
      <c r="N1762" s="16"/>
      <c r="O1762" s="16"/>
      <c r="P1762" s="16"/>
      <c r="Q1762" s="16"/>
      <c r="R1762" s="16"/>
      <c r="S1762" s="16"/>
      <c r="T1762" s="16"/>
      <c r="U1762" s="16"/>
      <c r="V1762" s="16"/>
      <c r="W1762" s="16"/>
      <c r="X1762" s="16"/>
      <c r="Y1762" s="16"/>
      <c r="Z1762" s="16"/>
      <c r="AA1762" s="16"/>
      <c r="AB1762" s="16"/>
    </row>
    <row r="1763" spans="3:28" ht="12.75">
      <c r="C1763" s="16"/>
      <c r="D1763" s="16"/>
      <c r="E1763" s="16"/>
      <c r="F1763" s="16"/>
      <c r="G1763" s="16"/>
      <c r="H1763" s="16"/>
      <c r="I1763" s="16"/>
      <c r="J1763" s="16"/>
      <c r="K1763" s="16"/>
      <c r="L1763" s="16"/>
      <c r="M1763" s="16"/>
      <c r="N1763" s="16"/>
      <c r="O1763" s="16"/>
      <c r="P1763" s="16"/>
      <c r="Q1763" s="16"/>
      <c r="R1763" s="16"/>
      <c r="S1763" s="16"/>
      <c r="T1763" s="16"/>
      <c r="U1763" s="16"/>
      <c r="V1763" s="16"/>
      <c r="W1763" s="16"/>
      <c r="X1763" s="16"/>
      <c r="Y1763" s="16"/>
      <c r="Z1763" s="16"/>
      <c r="AA1763" s="16"/>
      <c r="AB1763" s="16"/>
    </row>
    <row r="1764" spans="3:28" ht="12.75">
      <c r="C1764" s="16"/>
      <c r="D1764" s="16"/>
      <c r="E1764" s="16"/>
      <c r="F1764" s="16"/>
      <c r="G1764" s="16"/>
      <c r="H1764" s="16"/>
      <c r="I1764" s="16"/>
      <c r="J1764" s="16"/>
      <c r="K1764" s="16"/>
      <c r="L1764" s="16"/>
      <c r="M1764" s="16"/>
      <c r="N1764" s="16"/>
      <c r="O1764" s="16"/>
      <c r="P1764" s="16"/>
      <c r="Q1764" s="16"/>
      <c r="R1764" s="16"/>
      <c r="S1764" s="16"/>
      <c r="T1764" s="16"/>
      <c r="U1764" s="16"/>
      <c r="V1764" s="16"/>
      <c r="W1764" s="16"/>
      <c r="X1764" s="16"/>
      <c r="Y1764" s="16"/>
      <c r="Z1764" s="16"/>
      <c r="AA1764" s="16"/>
      <c r="AB1764" s="16"/>
    </row>
    <row r="1765" spans="3:28" ht="12.75">
      <c r="C1765" s="16"/>
      <c r="D1765" s="16"/>
      <c r="E1765" s="16"/>
      <c r="F1765" s="16"/>
      <c r="G1765" s="16"/>
      <c r="H1765" s="16"/>
      <c r="I1765" s="16"/>
      <c r="J1765" s="16"/>
      <c r="K1765" s="16"/>
      <c r="L1765" s="16"/>
      <c r="M1765" s="16"/>
      <c r="N1765" s="16"/>
      <c r="O1765" s="16"/>
      <c r="P1765" s="16"/>
      <c r="Q1765" s="16"/>
      <c r="R1765" s="16"/>
      <c r="S1765" s="16"/>
      <c r="T1765" s="16"/>
      <c r="U1765" s="16"/>
      <c r="V1765" s="16"/>
      <c r="W1765" s="16"/>
      <c r="X1765" s="16"/>
      <c r="Y1765" s="16"/>
      <c r="Z1765" s="16"/>
      <c r="AA1765" s="16"/>
      <c r="AB1765" s="16"/>
    </row>
    <row r="1766" spans="3:28" ht="12.75">
      <c r="C1766" s="16"/>
      <c r="D1766" s="16"/>
      <c r="E1766" s="16"/>
      <c r="F1766" s="16"/>
      <c r="G1766" s="16"/>
      <c r="H1766" s="16"/>
      <c r="I1766" s="16"/>
      <c r="J1766" s="16"/>
      <c r="K1766" s="16"/>
      <c r="L1766" s="16"/>
      <c r="M1766" s="16"/>
      <c r="N1766" s="16"/>
      <c r="O1766" s="16"/>
      <c r="P1766" s="16"/>
      <c r="Q1766" s="16"/>
      <c r="R1766" s="16"/>
      <c r="S1766" s="16"/>
      <c r="T1766" s="16"/>
      <c r="U1766" s="16"/>
      <c r="V1766" s="16"/>
      <c r="W1766" s="16"/>
      <c r="X1766" s="16"/>
      <c r="Y1766" s="16"/>
      <c r="Z1766" s="16"/>
      <c r="AA1766" s="16"/>
      <c r="AB1766" s="16"/>
    </row>
    <row r="1767" spans="3:28" ht="12.75">
      <c r="C1767" s="16"/>
      <c r="D1767" s="16"/>
      <c r="E1767" s="16"/>
      <c r="F1767" s="16"/>
      <c r="G1767" s="16"/>
      <c r="H1767" s="16"/>
      <c r="I1767" s="16"/>
      <c r="J1767" s="16"/>
      <c r="K1767" s="16"/>
      <c r="L1767" s="16"/>
      <c r="M1767" s="16"/>
      <c r="N1767" s="16"/>
      <c r="O1767" s="16"/>
      <c r="P1767" s="16"/>
      <c r="Q1767" s="16"/>
      <c r="R1767" s="16"/>
      <c r="S1767" s="16"/>
      <c r="T1767" s="16"/>
      <c r="U1767" s="16"/>
      <c r="V1767" s="16"/>
      <c r="W1767" s="16"/>
      <c r="X1767" s="16"/>
      <c r="Y1767" s="16"/>
      <c r="Z1767" s="16"/>
      <c r="AA1767" s="16"/>
      <c r="AB1767" s="16"/>
    </row>
    <row r="1768" spans="3:28" ht="12.75">
      <c r="C1768" s="16"/>
      <c r="D1768" s="16"/>
      <c r="E1768" s="16"/>
      <c r="F1768" s="16"/>
      <c r="G1768" s="16"/>
      <c r="H1768" s="16"/>
      <c r="I1768" s="16"/>
      <c r="J1768" s="16"/>
      <c r="K1768" s="16"/>
      <c r="L1768" s="16"/>
      <c r="M1768" s="16"/>
      <c r="N1768" s="16"/>
      <c r="O1768" s="16"/>
      <c r="P1768" s="16"/>
      <c r="Q1768" s="16"/>
      <c r="R1768" s="16"/>
      <c r="S1768" s="16"/>
      <c r="T1768" s="16"/>
      <c r="U1768" s="16"/>
      <c r="V1768" s="16"/>
      <c r="W1768" s="16"/>
      <c r="X1768" s="16"/>
      <c r="Y1768" s="16"/>
      <c r="Z1768" s="16"/>
      <c r="AA1768" s="16"/>
      <c r="AB1768" s="16"/>
    </row>
    <row r="1769" spans="3:28" ht="12.75">
      <c r="C1769" s="16"/>
      <c r="D1769" s="16"/>
      <c r="E1769" s="16"/>
      <c r="F1769" s="16"/>
      <c r="G1769" s="16"/>
      <c r="H1769" s="16"/>
      <c r="I1769" s="16"/>
      <c r="J1769" s="16"/>
      <c r="K1769" s="16"/>
      <c r="L1769" s="16"/>
      <c r="M1769" s="16"/>
      <c r="N1769" s="16"/>
      <c r="O1769" s="16"/>
      <c r="P1769" s="16"/>
      <c r="Q1769" s="16"/>
      <c r="R1769" s="16"/>
      <c r="S1769" s="16"/>
      <c r="T1769" s="16"/>
      <c r="U1769" s="16"/>
      <c r="V1769" s="16"/>
      <c r="W1769" s="16"/>
      <c r="X1769" s="16"/>
      <c r="Y1769" s="16"/>
      <c r="Z1769" s="16"/>
      <c r="AA1769" s="16"/>
      <c r="AB1769" s="16"/>
    </row>
    <row r="1770" spans="3:28" ht="12.75">
      <c r="C1770" s="16"/>
      <c r="D1770" s="16"/>
      <c r="E1770" s="16"/>
      <c r="F1770" s="16"/>
      <c r="G1770" s="16"/>
      <c r="H1770" s="16"/>
      <c r="I1770" s="16"/>
      <c r="J1770" s="16"/>
      <c r="K1770" s="16"/>
      <c r="L1770" s="16"/>
      <c r="M1770" s="16"/>
      <c r="N1770" s="16"/>
      <c r="O1770" s="16"/>
      <c r="P1770" s="16"/>
      <c r="Q1770" s="16"/>
      <c r="R1770" s="16"/>
      <c r="S1770" s="16"/>
      <c r="T1770" s="16"/>
      <c r="U1770" s="16"/>
      <c r="V1770" s="16"/>
      <c r="W1770" s="16"/>
      <c r="X1770" s="16"/>
      <c r="Y1770" s="16"/>
      <c r="Z1770" s="16"/>
      <c r="AA1770" s="16"/>
      <c r="AB1770" s="16"/>
    </row>
    <row r="1771" spans="3:28" ht="12.75">
      <c r="C1771" s="16"/>
      <c r="D1771" s="16"/>
      <c r="E1771" s="16"/>
      <c r="F1771" s="16"/>
      <c r="G1771" s="16"/>
      <c r="H1771" s="16"/>
      <c r="I1771" s="16"/>
      <c r="J1771" s="16"/>
      <c r="K1771" s="16"/>
      <c r="L1771" s="16"/>
      <c r="M1771" s="16"/>
      <c r="N1771" s="16"/>
      <c r="O1771" s="16"/>
      <c r="P1771" s="16"/>
      <c r="Q1771" s="16"/>
      <c r="R1771" s="16"/>
      <c r="S1771" s="16"/>
      <c r="T1771" s="16"/>
      <c r="U1771" s="16"/>
      <c r="V1771" s="16"/>
      <c r="W1771" s="16"/>
      <c r="X1771" s="16"/>
      <c r="Y1771" s="16"/>
      <c r="Z1771" s="16"/>
      <c r="AA1771" s="16"/>
      <c r="AB1771" s="16"/>
    </row>
    <row r="1772" spans="3:28" ht="12.75">
      <c r="C1772" s="16"/>
      <c r="D1772" s="16"/>
      <c r="E1772" s="16"/>
      <c r="F1772" s="16"/>
      <c r="G1772" s="16"/>
      <c r="H1772" s="16"/>
      <c r="I1772" s="16"/>
      <c r="J1772" s="16"/>
      <c r="K1772" s="16"/>
      <c r="L1772" s="16"/>
      <c r="M1772" s="16"/>
      <c r="N1772" s="16"/>
      <c r="O1772" s="16"/>
      <c r="P1772" s="16"/>
      <c r="Q1772" s="16"/>
      <c r="R1772" s="16"/>
      <c r="S1772" s="16"/>
      <c r="T1772" s="16"/>
      <c r="U1772" s="16"/>
      <c r="V1772" s="16"/>
      <c r="W1772" s="16"/>
      <c r="X1772" s="16"/>
      <c r="Y1772" s="16"/>
      <c r="Z1772" s="16"/>
      <c r="AA1772" s="16"/>
      <c r="AB1772" s="16"/>
    </row>
    <row r="1773" spans="3:28" ht="12.75">
      <c r="C1773" s="16"/>
      <c r="D1773" s="16"/>
      <c r="E1773" s="16"/>
      <c r="F1773" s="16"/>
      <c r="G1773" s="16"/>
      <c r="H1773" s="16"/>
      <c r="I1773" s="16"/>
      <c r="J1773" s="16"/>
      <c r="K1773" s="16"/>
      <c r="L1773" s="16"/>
      <c r="M1773" s="16"/>
      <c r="N1773" s="16"/>
      <c r="O1773" s="16"/>
      <c r="P1773" s="16"/>
      <c r="Q1773" s="16"/>
      <c r="R1773" s="16"/>
      <c r="S1773" s="16"/>
      <c r="T1773" s="16"/>
      <c r="U1773" s="16"/>
      <c r="V1773" s="16"/>
      <c r="W1773" s="16"/>
      <c r="X1773" s="16"/>
      <c r="Y1773" s="16"/>
      <c r="Z1773" s="16"/>
      <c r="AA1773" s="16"/>
      <c r="AB1773" s="16"/>
    </row>
    <row r="1774" spans="3:28" ht="12.75">
      <c r="C1774" s="16"/>
      <c r="D1774" s="16"/>
      <c r="E1774" s="16"/>
      <c r="F1774" s="16"/>
      <c r="G1774" s="16"/>
      <c r="H1774" s="16"/>
      <c r="I1774" s="16"/>
      <c r="J1774" s="16"/>
      <c r="K1774" s="16"/>
      <c r="L1774" s="16"/>
      <c r="M1774" s="16"/>
      <c r="N1774" s="16"/>
      <c r="O1774" s="16"/>
      <c r="P1774" s="16"/>
      <c r="Q1774" s="16"/>
      <c r="R1774" s="16"/>
      <c r="S1774" s="16"/>
      <c r="T1774" s="16"/>
      <c r="U1774" s="16"/>
      <c r="V1774" s="16"/>
      <c r="W1774" s="16"/>
      <c r="X1774" s="16"/>
      <c r="Y1774" s="16"/>
      <c r="Z1774" s="16"/>
      <c r="AA1774" s="16"/>
      <c r="AB1774" s="16"/>
    </row>
    <row r="1775" spans="3:28" ht="12.75">
      <c r="C1775" s="16"/>
      <c r="D1775" s="16"/>
      <c r="E1775" s="16"/>
      <c r="F1775" s="16"/>
      <c r="G1775" s="16"/>
      <c r="H1775" s="16"/>
      <c r="I1775" s="16"/>
      <c r="J1775" s="16"/>
      <c r="K1775" s="16"/>
      <c r="L1775" s="16"/>
      <c r="M1775" s="16"/>
      <c r="N1775" s="16"/>
      <c r="O1775" s="16"/>
      <c r="P1775" s="16"/>
      <c r="Q1775" s="16"/>
      <c r="R1775" s="16"/>
      <c r="S1775" s="16"/>
      <c r="T1775" s="16"/>
      <c r="U1775" s="16"/>
      <c r="V1775" s="16"/>
      <c r="W1775" s="16"/>
      <c r="X1775" s="16"/>
      <c r="Y1775" s="16"/>
      <c r="Z1775" s="16"/>
      <c r="AA1775" s="16"/>
      <c r="AB1775" s="16"/>
    </row>
    <row r="1776" spans="3:28" ht="12.75">
      <c r="C1776" s="16"/>
      <c r="D1776" s="16"/>
      <c r="E1776" s="16"/>
      <c r="F1776" s="16"/>
      <c r="G1776" s="16"/>
      <c r="H1776" s="16"/>
      <c r="I1776" s="16"/>
      <c r="J1776" s="16"/>
      <c r="K1776" s="16"/>
      <c r="L1776" s="16"/>
      <c r="M1776" s="16"/>
      <c r="N1776" s="16"/>
      <c r="O1776" s="16"/>
      <c r="P1776" s="16"/>
      <c r="Q1776" s="16"/>
      <c r="R1776" s="16"/>
      <c r="S1776" s="16"/>
      <c r="T1776" s="16"/>
      <c r="U1776" s="16"/>
      <c r="V1776" s="16"/>
      <c r="W1776" s="16"/>
      <c r="X1776" s="16"/>
      <c r="Y1776" s="16"/>
      <c r="Z1776" s="16"/>
      <c r="AA1776" s="16"/>
      <c r="AB1776" s="16"/>
    </row>
    <row r="1777" spans="3:28" ht="12.75">
      <c r="C1777" s="16"/>
      <c r="D1777" s="16"/>
      <c r="E1777" s="16"/>
      <c r="F1777" s="16"/>
      <c r="G1777" s="16"/>
      <c r="H1777" s="16"/>
      <c r="I1777" s="16"/>
      <c r="J1777" s="16"/>
      <c r="K1777" s="16"/>
      <c r="L1777" s="16"/>
      <c r="M1777" s="16"/>
      <c r="N1777" s="16"/>
      <c r="O1777" s="16"/>
      <c r="P1777" s="16"/>
      <c r="Q1777" s="16"/>
      <c r="R1777" s="16"/>
      <c r="S1777" s="16"/>
      <c r="T1777" s="16"/>
      <c r="U1777" s="16"/>
      <c r="V1777" s="16"/>
      <c r="W1777" s="16"/>
      <c r="X1777" s="16"/>
      <c r="Y1777" s="16"/>
      <c r="Z1777" s="16"/>
      <c r="AA1777" s="16"/>
      <c r="AB1777" s="16"/>
    </row>
    <row r="1778" spans="3:28" ht="12.75">
      <c r="C1778" s="16"/>
      <c r="D1778" s="16"/>
      <c r="E1778" s="16"/>
      <c r="F1778" s="16"/>
      <c r="G1778" s="16"/>
      <c r="H1778" s="16"/>
      <c r="I1778" s="16"/>
      <c r="J1778" s="16"/>
      <c r="K1778" s="16"/>
      <c r="L1778" s="16"/>
      <c r="M1778" s="16"/>
      <c r="N1778" s="16"/>
      <c r="O1778" s="16"/>
      <c r="P1778" s="16"/>
      <c r="Q1778" s="16"/>
      <c r="R1778" s="16"/>
      <c r="S1778" s="16"/>
      <c r="T1778" s="16"/>
      <c r="U1778" s="16"/>
      <c r="V1778" s="16"/>
      <c r="W1778" s="16"/>
      <c r="X1778" s="16"/>
      <c r="Y1778" s="16"/>
      <c r="Z1778" s="16"/>
      <c r="AA1778" s="16"/>
      <c r="AB1778" s="16"/>
    </row>
    <row r="1779" spans="3:28" ht="12.75">
      <c r="C1779" s="16"/>
      <c r="D1779" s="16"/>
      <c r="E1779" s="16"/>
      <c r="F1779" s="16"/>
      <c r="G1779" s="16"/>
      <c r="H1779" s="16"/>
      <c r="I1779" s="16"/>
      <c r="J1779" s="16"/>
      <c r="K1779" s="16"/>
      <c r="L1779" s="16"/>
      <c r="M1779" s="16"/>
      <c r="N1779" s="16"/>
      <c r="O1779" s="16"/>
      <c r="P1779" s="16"/>
      <c r="Q1779" s="16"/>
      <c r="R1779" s="16"/>
      <c r="S1779" s="16"/>
      <c r="T1779" s="16"/>
      <c r="U1779" s="16"/>
      <c r="V1779" s="16"/>
      <c r="W1779" s="16"/>
      <c r="X1779" s="16"/>
      <c r="Y1779" s="16"/>
      <c r="Z1779" s="16"/>
      <c r="AA1779" s="16"/>
      <c r="AB1779" s="16"/>
    </row>
    <row r="1780" spans="3:28" ht="12.75">
      <c r="C1780" s="16"/>
      <c r="D1780" s="16"/>
      <c r="E1780" s="16"/>
      <c r="F1780" s="16"/>
      <c r="G1780" s="16"/>
      <c r="H1780" s="16"/>
      <c r="I1780" s="16"/>
      <c r="J1780" s="16"/>
      <c r="K1780" s="16"/>
      <c r="L1780" s="16"/>
      <c r="M1780" s="16"/>
      <c r="N1780" s="16"/>
      <c r="O1780" s="16"/>
      <c r="P1780" s="16"/>
      <c r="Q1780" s="16"/>
      <c r="R1780" s="16"/>
      <c r="S1780" s="16"/>
      <c r="T1780" s="16"/>
      <c r="U1780" s="16"/>
      <c r="V1780" s="16"/>
      <c r="W1780" s="16"/>
      <c r="X1780" s="16"/>
      <c r="Y1780" s="16"/>
      <c r="Z1780" s="16"/>
      <c r="AA1780" s="16"/>
      <c r="AB1780" s="16"/>
    </row>
    <row r="1781" spans="3:28" ht="12.75">
      <c r="C1781" s="16"/>
      <c r="D1781" s="16"/>
      <c r="E1781" s="16"/>
      <c r="F1781" s="16"/>
      <c r="G1781" s="16"/>
      <c r="H1781" s="16"/>
      <c r="I1781" s="16"/>
      <c r="J1781" s="16"/>
      <c r="K1781" s="16"/>
      <c r="L1781" s="16"/>
      <c r="M1781" s="16"/>
      <c r="N1781" s="16"/>
      <c r="O1781" s="16"/>
      <c r="P1781" s="16"/>
      <c r="Q1781" s="16"/>
      <c r="R1781" s="16"/>
      <c r="S1781" s="16"/>
      <c r="T1781" s="16"/>
      <c r="U1781" s="16"/>
      <c r="V1781" s="16"/>
      <c r="W1781" s="16"/>
      <c r="X1781" s="16"/>
      <c r="Y1781" s="16"/>
      <c r="Z1781" s="16"/>
      <c r="AA1781" s="16"/>
      <c r="AB1781" s="16"/>
    </row>
    <row r="1782" spans="3:28" ht="12.75">
      <c r="C1782" s="16"/>
      <c r="D1782" s="16"/>
      <c r="E1782" s="16"/>
      <c r="F1782" s="16"/>
      <c r="G1782" s="16"/>
      <c r="H1782" s="16"/>
      <c r="I1782" s="16"/>
      <c r="J1782" s="16"/>
      <c r="K1782" s="16"/>
      <c r="L1782" s="16"/>
      <c r="M1782" s="16"/>
      <c r="N1782" s="16"/>
      <c r="O1782" s="16"/>
      <c r="P1782" s="16"/>
      <c r="Q1782" s="16"/>
      <c r="R1782" s="16"/>
      <c r="S1782" s="16"/>
      <c r="T1782" s="16"/>
      <c r="U1782" s="16"/>
      <c r="V1782" s="16"/>
      <c r="W1782" s="16"/>
      <c r="X1782" s="16"/>
      <c r="Y1782" s="16"/>
      <c r="Z1782" s="16"/>
      <c r="AA1782" s="16"/>
      <c r="AB1782" s="16"/>
    </row>
    <row r="1783" spans="3:28" ht="12.75">
      <c r="C1783" s="16"/>
      <c r="D1783" s="16"/>
      <c r="E1783" s="16"/>
      <c r="F1783" s="16"/>
      <c r="G1783" s="16"/>
      <c r="H1783" s="16"/>
      <c r="I1783" s="16"/>
      <c r="J1783" s="16"/>
      <c r="K1783" s="16"/>
      <c r="L1783" s="16"/>
      <c r="M1783" s="16"/>
      <c r="N1783" s="16"/>
      <c r="O1783" s="16"/>
      <c r="P1783" s="16"/>
      <c r="Q1783" s="16"/>
      <c r="R1783" s="16"/>
      <c r="S1783" s="16"/>
      <c r="T1783" s="16"/>
      <c r="U1783" s="16"/>
      <c r="V1783" s="16"/>
      <c r="W1783" s="16"/>
      <c r="X1783" s="16"/>
      <c r="Y1783" s="16"/>
      <c r="Z1783" s="16"/>
      <c r="AA1783" s="16"/>
      <c r="AB1783" s="16"/>
    </row>
    <row r="1784" spans="3:28" ht="12.75">
      <c r="C1784" s="16"/>
      <c r="D1784" s="16"/>
      <c r="E1784" s="16"/>
      <c r="F1784" s="16"/>
      <c r="G1784" s="16"/>
      <c r="H1784" s="16"/>
      <c r="I1784" s="16"/>
      <c r="J1784" s="16"/>
      <c r="K1784" s="16"/>
      <c r="L1784" s="16"/>
      <c r="M1784" s="16"/>
      <c r="N1784" s="16"/>
      <c r="O1784" s="16"/>
      <c r="P1784" s="16"/>
      <c r="Q1784" s="16"/>
      <c r="R1784" s="16"/>
      <c r="S1784" s="16"/>
      <c r="T1784" s="16"/>
      <c r="U1784" s="16"/>
      <c r="V1784" s="16"/>
      <c r="W1784" s="16"/>
      <c r="X1784" s="16"/>
      <c r="Y1784" s="16"/>
      <c r="Z1784" s="16"/>
      <c r="AA1784" s="16"/>
      <c r="AB1784" s="16"/>
    </row>
    <row r="1785" spans="3:28" ht="12.75">
      <c r="C1785" s="16"/>
      <c r="D1785" s="16"/>
      <c r="E1785" s="16"/>
      <c r="F1785" s="16"/>
      <c r="G1785" s="16"/>
      <c r="H1785" s="16"/>
      <c r="I1785" s="16"/>
      <c r="J1785" s="16"/>
      <c r="K1785" s="16"/>
      <c r="L1785" s="16"/>
      <c r="M1785" s="16"/>
      <c r="N1785" s="16"/>
      <c r="O1785" s="16"/>
      <c r="P1785" s="16"/>
      <c r="Q1785" s="16"/>
      <c r="R1785" s="16"/>
      <c r="S1785" s="16"/>
      <c r="T1785" s="16"/>
      <c r="U1785" s="16"/>
      <c r="V1785" s="16"/>
      <c r="W1785" s="16"/>
      <c r="X1785" s="16"/>
      <c r="Y1785" s="16"/>
      <c r="Z1785" s="16"/>
      <c r="AA1785" s="16"/>
      <c r="AB1785" s="16"/>
    </row>
    <row r="1786" spans="3:28" ht="12.75">
      <c r="C1786" s="16"/>
      <c r="D1786" s="16"/>
      <c r="E1786" s="16"/>
      <c r="F1786" s="16"/>
      <c r="G1786" s="16"/>
      <c r="H1786" s="16"/>
      <c r="I1786" s="16"/>
      <c r="J1786" s="16"/>
      <c r="K1786" s="16"/>
      <c r="L1786" s="16"/>
      <c r="M1786" s="16"/>
      <c r="N1786" s="16"/>
      <c r="O1786" s="16"/>
      <c r="P1786" s="16"/>
      <c r="Q1786" s="16"/>
      <c r="R1786" s="16"/>
      <c r="S1786" s="16"/>
      <c r="T1786" s="16"/>
      <c r="U1786" s="16"/>
      <c r="V1786" s="16"/>
      <c r="W1786" s="16"/>
      <c r="X1786" s="16"/>
      <c r="Y1786" s="16"/>
      <c r="Z1786" s="16"/>
      <c r="AA1786" s="16"/>
      <c r="AB1786" s="16"/>
    </row>
    <row r="1787" spans="3:28" ht="12.75">
      <c r="C1787" s="16"/>
      <c r="D1787" s="16"/>
      <c r="E1787" s="16"/>
      <c r="F1787" s="16"/>
      <c r="G1787" s="16"/>
      <c r="H1787" s="16"/>
      <c r="I1787" s="16"/>
      <c r="J1787" s="16"/>
      <c r="K1787" s="16"/>
      <c r="L1787" s="16"/>
      <c r="M1787" s="16"/>
      <c r="N1787" s="16"/>
      <c r="O1787" s="16"/>
      <c r="P1787" s="16"/>
      <c r="Q1787" s="16"/>
      <c r="R1787" s="16"/>
      <c r="S1787" s="16"/>
      <c r="T1787" s="16"/>
      <c r="U1787" s="16"/>
      <c r="V1787" s="16"/>
      <c r="W1787" s="16"/>
      <c r="X1787" s="16"/>
      <c r="Y1787" s="16"/>
      <c r="Z1787" s="16"/>
      <c r="AA1787" s="16"/>
      <c r="AB1787" s="16"/>
    </row>
    <row r="1788" spans="3:28" ht="12.75">
      <c r="C1788" s="16"/>
      <c r="D1788" s="16"/>
      <c r="E1788" s="16"/>
      <c r="F1788" s="16"/>
      <c r="G1788" s="16"/>
      <c r="H1788" s="16"/>
      <c r="I1788" s="16"/>
      <c r="J1788" s="16"/>
      <c r="K1788" s="16"/>
      <c r="L1788" s="16"/>
      <c r="M1788" s="16"/>
      <c r="N1788" s="16"/>
      <c r="O1788" s="16"/>
      <c r="P1788" s="16"/>
      <c r="Q1788" s="16"/>
      <c r="R1788" s="16"/>
      <c r="S1788" s="16"/>
      <c r="T1788" s="16"/>
      <c r="U1788" s="16"/>
      <c r="V1788" s="16"/>
      <c r="W1788" s="16"/>
      <c r="X1788" s="16"/>
      <c r="Y1788" s="16"/>
      <c r="Z1788" s="16"/>
      <c r="AA1788" s="16"/>
      <c r="AB1788" s="16"/>
    </row>
    <row r="1789" spans="3:28" ht="12.75">
      <c r="C1789" s="16"/>
      <c r="D1789" s="16"/>
      <c r="E1789" s="16"/>
      <c r="F1789" s="16"/>
      <c r="G1789" s="16"/>
      <c r="H1789" s="16"/>
      <c r="I1789" s="16"/>
      <c r="J1789" s="16"/>
      <c r="K1789" s="16"/>
      <c r="L1789" s="16"/>
      <c r="M1789" s="16"/>
      <c r="N1789" s="16"/>
      <c r="O1789" s="16"/>
      <c r="P1789" s="16"/>
      <c r="Q1789" s="16"/>
      <c r="R1789" s="16"/>
      <c r="S1789" s="16"/>
      <c r="T1789" s="16"/>
      <c r="U1789" s="16"/>
      <c r="V1789" s="16"/>
      <c r="W1789" s="16"/>
      <c r="X1789" s="16"/>
      <c r="Y1789" s="16"/>
      <c r="Z1789" s="16"/>
      <c r="AA1789" s="16"/>
      <c r="AB1789" s="16"/>
    </row>
    <row r="1790" spans="3:28" ht="12.75">
      <c r="C1790" s="16"/>
      <c r="D1790" s="16"/>
      <c r="E1790" s="16"/>
      <c r="F1790" s="16"/>
      <c r="G1790" s="16"/>
      <c r="H1790" s="16"/>
      <c r="I1790" s="16"/>
      <c r="J1790" s="16"/>
      <c r="K1790" s="16"/>
      <c r="L1790" s="16"/>
      <c r="M1790" s="16"/>
      <c r="N1790" s="16"/>
      <c r="O1790" s="16"/>
      <c r="P1790" s="16"/>
      <c r="Q1790" s="16"/>
      <c r="R1790" s="16"/>
      <c r="S1790" s="16"/>
      <c r="T1790" s="16"/>
      <c r="U1790" s="16"/>
      <c r="V1790" s="16"/>
      <c r="W1790" s="16"/>
      <c r="X1790" s="16"/>
      <c r="Y1790" s="16"/>
      <c r="Z1790" s="16"/>
      <c r="AA1790" s="16"/>
      <c r="AB1790" s="16"/>
    </row>
    <row r="1791" spans="3:28" ht="12.75">
      <c r="C1791" s="16"/>
      <c r="D1791" s="16"/>
      <c r="E1791" s="16"/>
      <c r="F1791" s="16"/>
      <c r="G1791" s="16"/>
      <c r="H1791" s="16"/>
      <c r="I1791" s="16"/>
      <c r="J1791" s="16"/>
      <c r="K1791" s="16"/>
      <c r="L1791" s="16"/>
      <c r="M1791" s="16"/>
      <c r="N1791" s="16"/>
      <c r="O1791" s="16"/>
      <c r="P1791" s="16"/>
      <c r="Q1791" s="16"/>
      <c r="R1791" s="16"/>
      <c r="S1791" s="16"/>
      <c r="T1791" s="16"/>
      <c r="U1791" s="16"/>
      <c r="V1791" s="16"/>
      <c r="W1791" s="16"/>
      <c r="X1791" s="16"/>
      <c r="Y1791" s="16"/>
      <c r="Z1791" s="16"/>
      <c r="AA1791" s="16"/>
      <c r="AB1791" s="16"/>
    </row>
    <row r="1792" spans="3:28" ht="12.75">
      <c r="C1792" s="16"/>
      <c r="D1792" s="16"/>
      <c r="E1792" s="16"/>
      <c r="F1792" s="16"/>
      <c r="G1792" s="16"/>
      <c r="H1792" s="16"/>
      <c r="I1792" s="16"/>
      <c r="J1792" s="16"/>
      <c r="K1792" s="16"/>
      <c r="L1792" s="16"/>
      <c r="M1792" s="16"/>
      <c r="N1792" s="16"/>
      <c r="O1792" s="16"/>
      <c r="P1792" s="16"/>
      <c r="Q1792" s="16"/>
      <c r="R1792" s="16"/>
      <c r="S1792" s="16"/>
      <c r="T1792" s="16"/>
      <c r="U1792" s="16"/>
      <c r="V1792" s="16"/>
      <c r="W1792" s="16"/>
      <c r="X1792" s="16"/>
      <c r="Y1792" s="16"/>
      <c r="Z1792" s="16"/>
      <c r="AA1792" s="16"/>
      <c r="AB1792" s="16"/>
    </row>
    <row r="1793" spans="3:28" ht="12.75">
      <c r="C1793" s="16"/>
      <c r="D1793" s="16"/>
      <c r="E1793" s="16"/>
      <c r="F1793" s="16"/>
      <c r="G1793" s="16"/>
      <c r="H1793" s="16"/>
      <c r="I1793" s="16"/>
      <c r="J1793" s="16"/>
      <c r="K1793" s="16"/>
      <c r="L1793" s="16"/>
      <c r="M1793" s="16"/>
      <c r="N1793" s="16"/>
      <c r="O1793" s="16"/>
      <c r="P1793" s="16"/>
      <c r="Q1793" s="16"/>
      <c r="R1793" s="16"/>
      <c r="S1793" s="16"/>
      <c r="T1793" s="16"/>
      <c r="U1793" s="16"/>
      <c r="V1793" s="16"/>
      <c r="W1793" s="16"/>
      <c r="X1793" s="16"/>
      <c r="Y1793" s="16"/>
      <c r="Z1793" s="16"/>
      <c r="AA1793" s="16"/>
      <c r="AB1793" s="16"/>
    </row>
    <row r="1794" spans="3:28" ht="12.75">
      <c r="C1794" s="16"/>
      <c r="D1794" s="16"/>
      <c r="E1794" s="16"/>
      <c r="F1794" s="16"/>
      <c r="G1794" s="16"/>
      <c r="H1794" s="16"/>
      <c r="I1794" s="16"/>
      <c r="J1794" s="16"/>
      <c r="K1794" s="16"/>
      <c r="L1794" s="16"/>
      <c r="M1794" s="16"/>
      <c r="N1794" s="16"/>
      <c r="O1794" s="16"/>
      <c r="P1794" s="16"/>
      <c r="Q1794" s="16"/>
      <c r="R1794" s="16"/>
      <c r="S1794" s="16"/>
      <c r="T1794" s="16"/>
      <c r="U1794" s="16"/>
      <c r="V1794" s="16"/>
      <c r="W1794" s="16"/>
      <c r="X1794" s="16"/>
      <c r="Y1794" s="16"/>
      <c r="Z1794" s="16"/>
      <c r="AA1794" s="16"/>
      <c r="AB1794" s="16"/>
    </row>
    <row r="1795" spans="3:28" ht="12.75">
      <c r="C1795" s="16"/>
      <c r="D1795" s="16"/>
      <c r="E1795" s="16"/>
      <c r="F1795" s="16"/>
      <c r="G1795" s="16"/>
      <c r="H1795" s="16"/>
      <c r="I1795" s="16"/>
      <c r="J1795" s="16"/>
      <c r="K1795" s="16"/>
      <c r="L1795" s="16"/>
      <c r="M1795" s="16"/>
      <c r="N1795" s="16"/>
      <c r="O1795" s="16"/>
      <c r="P1795" s="16"/>
      <c r="Q1795" s="16"/>
      <c r="R1795" s="16"/>
      <c r="S1795" s="16"/>
      <c r="T1795" s="16"/>
      <c r="U1795" s="16"/>
      <c r="V1795" s="16"/>
      <c r="W1795" s="16"/>
      <c r="X1795" s="16"/>
      <c r="Y1795" s="16"/>
      <c r="Z1795" s="16"/>
      <c r="AA1795" s="16"/>
      <c r="AB1795" s="16"/>
    </row>
    <row r="1796" spans="3:28" ht="12.75">
      <c r="C1796" s="16"/>
      <c r="D1796" s="16"/>
      <c r="E1796" s="16"/>
      <c r="F1796" s="16"/>
      <c r="G1796" s="16"/>
      <c r="H1796" s="16"/>
      <c r="I1796" s="16"/>
      <c r="J1796" s="16"/>
      <c r="K1796" s="16"/>
      <c r="L1796" s="16"/>
      <c r="M1796" s="16"/>
      <c r="N1796" s="16"/>
      <c r="O1796" s="16"/>
      <c r="P1796" s="16"/>
      <c r="Q1796" s="16"/>
      <c r="R1796" s="16"/>
      <c r="S1796" s="16"/>
      <c r="T1796" s="16"/>
      <c r="U1796" s="16"/>
      <c r="V1796" s="16"/>
      <c r="W1796" s="16"/>
      <c r="X1796" s="16"/>
      <c r="Y1796" s="16"/>
      <c r="Z1796" s="16"/>
      <c r="AA1796" s="16"/>
      <c r="AB1796" s="16"/>
    </row>
    <row r="1797" spans="3:28" ht="12.75">
      <c r="C1797" s="16"/>
      <c r="D1797" s="16"/>
      <c r="E1797" s="16"/>
      <c r="F1797" s="16"/>
      <c r="G1797" s="16"/>
      <c r="H1797" s="16"/>
      <c r="I1797" s="16"/>
      <c r="J1797" s="16"/>
      <c r="K1797" s="16"/>
      <c r="L1797" s="16"/>
      <c r="M1797" s="16"/>
      <c r="N1797" s="16"/>
      <c r="O1797" s="16"/>
      <c r="P1797" s="16"/>
      <c r="Q1797" s="16"/>
      <c r="R1797" s="16"/>
      <c r="S1797" s="16"/>
      <c r="T1797" s="16"/>
      <c r="U1797" s="16"/>
      <c r="V1797" s="16"/>
      <c r="W1797" s="16"/>
      <c r="X1797" s="16"/>
      <c r="Y1797" s="16"/>
      <c r="Z1797" s="16"/>
      <c r="AA1797" s="16"/>
      <c r="AB1797" s="16"/>
    </row>
    <row r="1798" spans="3:28" ht="12.75">
      <c r="C1798" s="16"/>
      <c r="D1798" s="16"/>
      <c r="E1798" s="16"/>
      <c r="F1798" s="16"/>
      <c r="G1798" s="16"/>
      <c r="H1798" s="16"/>
      <c r="I1798" s="16"/>
      <c r="J1798" s="16"/>
      <c r="K1798" s="16"/>
      <c r="L1798" s="16"/>
      <c r="M1798" s="16"/>
      <c r="N1798" s="16"/>
      <c r="O1798" s="16"/>
      <c r="P1798" s="16"/>
      <c r="Q1798" s="16"/>
      <c r="R1798" s="16"/>
      <c r="S1798" s="16"/>
      <c r="T1798" s="16"/>
      <c r="U1798" s="16"/>
      <c r="V1798" s="16"/>
      <c r="W1798" s="16"/>
      <c r="X1798" s="16"/>
      <c r="Y1798" s="16"/>
      <c r="Z1798" s="16"/>
      <c r="AA1798" s="16"/>
      <c r="AB1798" s="16"/>
    </row>
    <row r="1799" spans="3:28" ht="12.75">
      <c r="C1799" s="16"/>
      <c r="D1799" s="16"/>
      <c r="E1799" s="16"/>
      <c r="F1799" s="16"/>
      <c r="G1799" s="16"/>
      <c r="H1799" s="16"/>
      <c r="I1799" s="16"/>
      <c r="J1799" s="16"/>
      <c r="K1799" s="16"/>
      <c r="L1799" s="16"/>
      <c r="M1799" s="16"/>
      <c r="N1799" s="16"/>
      <c r="O1799" s="16"/>
      <c r="P1799" s="16"/>
      <c r="Q1799" s="16"/>
      <c r="R1799" s="16"/>
      <c r="S1799" s="16"/>
      <c r="T1799" s="16"/>
      <c r="U1799" s="16"/>
      <c r="V1799" s="16"/>
      <c r="W1799" s="16"/>
      <c r="X1799" s="16"/>
      <c r="Y1799" s="16"/>
      <c r="Z1799" s="16"/>
      <c r="AA1799" s="16"/>
      <c r="AB1799" s="16"/>
    </row>
    <row r="1800" spans="3:28" ht="12.75">
      <c r="C1800" s="16"/>
      <c r="D1800" s="16"/>
      <c r="E1800" s="16"/>
      <c r="F1800" s="16"/>
      <c r="G1800" s="16"/>
      <c r="H1800" s="16"/>
      <c r="I1800" s="16"/>
      <c r="J1800" s="16"/>
      <c r="K1800" s="16"/>
      <c r="L1800" s="16"/>
      <c r="M1800" s="16"/>
      <c r="N1800" s="16"/>
      <c r="O1800" s="16"/>
      <c r="P1800" s="16"/>
      <c r="Q1800" s="16"/>
      <c r="R1800" s="16"/>
      <c r="S1800" s="16"/>
      <c r="T1800" s="16"/>
      <c r="U1800" s="16"/>
      <c r="V1800" s="16"/>
      <c r="W1800" s="16"/>
      <c r="X1800" s="16"/>
      <c r="Y1800" s="16"/>
      <c r="Z1800" s="16"/>
      <c r="AA1800" s="16"/>
      <c r="AB1800" s="16"/>
    </row>
    <row r="1801" spans="3:28" ht="12.75">
      <c r="C1801" s="16"/>
      <c r="D1801" s="16"/>
      <c r="E1801" s="16"/>
      <c r="F1801" s="16"/>
      <c r="G1801" s="16"/>
      <c r="H1801" s="16"/>
      <c r="I1801" s="16"/>
      <c r="J1801" s="16"/>
      <c r="K1801" s="16"/>
      <c r="L1801" s="16"/>
      <c r="M1801" s="16"/>
      <c r="N1801" s="16"/>
      <c r="O1801" s="16"/>
      <c r="P1801" s="16"/>
      <c r="Q1801" s="16"/>
      <c r="R1801" s="16"/>
      <c r="S1801" s="16"/>
      <c r="T1801" s="16"/>
      <c r="U1801" s="16"/>
      <c r="V1801" s="16"/>
      <c r="W1801" s="16"/>
      <c r="X1801" s="16"/>
      <c r="Y1801" s="16"/>
      <c r="Z1801" s="16"/>
      <c r="AA1801" s="16"/>
      <c r="AB1801" s="16"/>
    </row>
    <row r="1802" spans="3:28" ht="12.75">
      <c r="C1802" s="16"/>
      <c r="D1802" s="16"/>
      <c r="E1802" s="16"/>
      <c r="F1802" s="16"/>
      <c r="G1802" s="16"/>
      <c r="H1802" s="16"/>
      <c r="I1802" s="16"/>
      <c r="J1802" s="16"/>
      <c r="K1802" s="16"/>
      <c r="L1802" s="16"/>
      <c r="M1802" s="16"/>
      <c r="N1802" s="16"/>
      <c r="O1802" s="16"/>
      <c r="P1802" s="16"/>
      <c r="Q1802" s="16"/>
      <c r="R1802" s="16"/>
      <c r="S1802" s="16"/>
      <c r="T1802" s="16"/>
      <c r="U1802" s="16"/>
      <c r="V1802" s="16"/>
      <c r="W1802" s="16"/>
      <c r="X1802" s="16"/>
      <c r="Y1802" s="16"/>
      <c r="Z1802" s="16"/>
      <c r="AA1802" s="16"/>
      <c r="AB1802" s="16"/>
    </row>
    <row r="1803" spans="3:28" ht="12.75">
      <c r="C1803" s="16"/>
      <c r="D1803" s="16"/>
      <c r="E1803" s="16"/>
      <c r="F1803" s="16"/>
      <c r="G1803" s="16"/>
      <c r="H1803" s="16"/>
      <c r="I1803" s="16"/>
      <c r="J1803" s="16"/>
      <c r="K1803" s="16"/>
      <c r="L1803" s="16"/>
      <c r="M1803" s="16"/>
      <c r="N1803" s="16"/>
      <c r="O1803" s="16"/>
      <c r="P1803" s="16"/>
      <c r="Q1803" s="16"/>
      <c r="R1803" s="16"/>
      <c r="S1803" s="16"/>
      <c r="T1803" s="16"/>
      <c r="U1803" s="16"/>
      <c r="V1803" s="16"/>
      <c r="W1803" s="16"/>
      <c r="X1803" s="16"/>
      <c r="Y1803" s="16"/>
      <c r="Z1803" s="16"/>
      <c r="AA1803" s="16"/>
      <c r="AB1803" s="16"/>
    </row>
    <row r="1804" spans="3:28" ht="12.75">
      <c r="C1804" s="16"/>
      <c r="D1804" s="16"/>
      <c r="E1804" s="16"/>
      <c r="F1804" s="16"/>
      <c r="G1804" s="16"/>
      <c r="H1804" s="16"/>
      <c r="I1804" s="16"/>
      <c r="J1804" s="16"/>
      <c r="K1804" s="16"/>
      <c r="L1804" s="16"/>
      <c r="M1804" s="16"/>
      <c r="N1804" s="16"/>
      <c r="O1804" s="16"/>
      <c r="P1804" s="16"/>
      <c r="Q1804" s="16"/>
      <c r="R1804" s="16"/>
      <c r="S1804" s="16"/>
      <c r="T1804" s="16"/>
      <c r="U1804" s="16"/>
      <c r="V1804" s="16"/>
      <c r="W1804" s="16"/>
      <c r="X1804" s="16"/>
      <c r="Y1804" s="16"/>
      <c r="Z1804" s="16"/>
      <c r="AA1804" s="16"/>
      <c r="AB1804" s="16"/>
    </row>
    <row r="1805" spans="3:28" ht="12.75">
      <c r="C1805" s="16"/>
      <c r="D1805" s="16"/>
      <c r="E1805" s="16"/>
      <c r="F1805" s="16"/>
      <c r="G1805" s="16"/>
      <c r="H1805" s="16"/>
      <c r="I1805" s="16"/>
      <c r="J1805" s="16"/>
      <c r="K1805" s="16"/>
      <c r="L1805" s="16"/>
      <c r="M1805" s="16"/>
      <c r="N1805" s="16"/>
      <c r="O1805" s="16"/>
      <c r="P1805" s="16"/>
      <c r="Q1805" s="16"/>
      <c r="R1805" s="16"/>
      <c r="S1805" s="16"/>
      <c r="T1805" s="16"/>
      <c r="U1805" s="16"/>
      <c r="V1805" s="16"/>
      <c r="W1805" s="16"/>
      <c r="X1805" s="16"/>
      <c r="Y1805" s="16"/>
      <c r="Z1805" s="16"/>
      <c r="AA1805" s="16"/>
      <c r="AB1805" s="16"/>
    </row>
    <row r="1806" spans="3:28" ht="12.75">
      <c r="C1806" s="16"/>
      <c r="D1806" s="16"/>
      <c r="E1806" s="16"/>
      <c r="F1806" s="16"/>
      <c r="G1806" s="16"/>
      <c r="H1806" s="16"/>
      <c r="I1806" s="16"/>
      <c r="J1806" s="16"/>
      <c r="K1806" s="16"/>
      <c r="L1806" s="16"/>
      <c r="M1806" s="16"/>
      <c r="N1806" s="16"/>
      <c r="O1806" s="16"/>
      <c r="P1806" s="16"/>
      <c r="Q1806" s="16"/>
      <c r="R1806" s="16"/>
      <c r="S1806" s="16"/>
      <c r="T1806" s="16"/>
      <c r="U1806" s="16"/>
      <c r="V1806" s="16"/>
      <c r="W1806" s="16"/>
      <c r="X1806" s="16"/>
      <c r="Y1806" s="16"/>
      <c r="Z1806" s="16"/>
      <c r="AA1806" s="16"/>
      <c r="AB1806" s="16"/>
    </row>
    <row r="1807" spans="3:28" ht="12.75">
      <c r="C1807" s="16"/>
      <c r="D1807" s="16"/>
      <c r="E1807" s="16"/>
      <c r="F1807" s="16"/>
      <c r="G1807" s="16"/>
      <c r="H1807" s="16"/>
      <c r="I1807" s="16"/>
      <c r="J1807" s="16"/>
      <c r="K1807" s="16"/>
      <c r="L1807" s="16"/>
      <c r="M1807" s="16"/>
      <c r="N1807" s="16"/>
      <c r="O1807" s="16"/>
      <c r="P1807" s="16"/>
      <c r="Q1807" s="16"/>
      <c r="R1807" s="16"/>
      <c r="S1807" s="16"/>
      <c r="T1807" s="16"/>
      <c r="U1807" s="16"/>
      <c r="V1807" s="16"/>
      <c r="W1807" s="16"/>
      <c r="X1807" s="16"/>
      <c r="Y1807" s="16"/>
      <c r="Z1807" s="16"/>
      <c r="AA1807" s="16"/>
      <c r="AB1807" s="16"/>
    </row>
    <row r="1808" spans="3:28" ht="12.75">
      <c r="C1808" s="16"/>
      <c r="D1808" s="16"/>
      <c r="E1808" s="16"/>
      <c r="F1808" s="16"/>
      <c r="G1808" s="16"/>
      <c r="H1808" s="16"/>
      <c r="I1808" s="16"/>
      <c r="J1808" s="16"/>
      <c r="K1808" s="16"/>
      <c r="L1808" s="16"/>
      <c r="M1808" s="16"/>
      <c r="N1808" s="16"/>
      <c r="O1808" s="16"/>
      <c r="P1808" s="16"/>
      <c r="Q1808" s="16"/>
      <c r="R1808" s="16"/>
      <c r="S1808" s="16"/>
      <c r="T1808" s="16"/>
      <c r="U1808" s="16"/>
      <c r="V1808" s="16"/>
      <c r="W1808" s="16"/>
      <c r="X1808" s="16"/>
      <c r="Y1808" s="16"/>
      <c r="Z1808" s="16"/>
      <c r="AA1808" s="16"/>
      <c r="AB1808" s="16"/>
    </row>
    <row r="1809" spans="3:28" ht="12.75">
      <c r="C1809" s="16"/>
      <c r="D1809" s="16"/>
      <c r="E1809" s="16"/>
      <c r="F1809" s="16"/>
      <c r="G1809" s="16"/>
      <c r="H1809" s="16"/>
      <c r="I1809" s="16"/>
      <c r="J1809" s="16"/>
      <c r="K1809" s="16"/>
      <c r="L1809" s="16"/>
      <c r="M1809" s="16"/>
      <c r="N1809" s="16"/>
      <c r="O1809" s="16"/>
      <c r="P1809" s="16"/>
      <c r="Q1809" s="16"/>
      <c r="R1809" s="16"/>
      <c r="S1809" s="16"/>
      <c r="T1809" s="16"/>
      <c r="U1809" s="16"/>
      <c r="V1809" s="16"/>
      <c r="W1809" s="16"/>
      <c r="X1809" s="16"/>
      <c r="Y1809" s="16"/>
      <c r="Z1809" s="16"/>
      <c r="AA1809" s="16"/>
      <c r="AB1809" s="16"/>
    </row>
    <row r="1810" spans="3:28" ht="12.75">
      <c r="C1810" s="16"/>
      <c r="D1810" s="16"/>
      <c r="E1810" s="16"/>
      <c r="F1810" s="16"/>
      <c r="G1810" s="16"/>
      <c r="H1810" s="16"/>
      <c r="I1810" s="16"/>
      <c r="J1810" s="16"/>
      <c r="K1810" s="16"/>
      <c r="L1810" s="16"/>
      <c r="M1810" s="16"/>
      <c r="N1810" s="16"/>
      <c r="O1810" s="16"/>
      <c r="P1810" s="16"/>
      <c r="Q1810" s="16"/>
      <c r="R1810" s="16"/>
      <c r="S1810" s="16"/>
      <c r="T1810" s="16"/>
      <c r="U1810" s="16"/>
      <c r="V1810" s="16"/>
      <c r="W1810" s="16"/>
      <c r="X1810" s="16"/>
      <c r="Y1810" s="16"/>
      <c r="Z1810" s="16"/>
      <c r="AA1810" s="16"/>
      <c r="AB1810" s="16"/>
    </row>
    <row r="1811" spans="3:28" ht="12.75">
      <c r="C1811" s="16"/>
      <c r="D1811" s="16"/>
      <c r="E1811" s="16"/>
      <c r="F1811" s="16"/>
      <c r="G1811" s="16"/>
      <c r="H1811" s="16"/>
      <c r="I1811" s="16"/>
      <c r="J1811" s="16"/>
      <c r="K1811" s="16"/>
      <c r="L1811" s="16"/>
      <c r="M1811" s="16"/>
      <c r="N1811" s="16"/>
      <c r="O1811" s="16"/>
      <c r="P1811" s="16"/>
      <c r="Q1811" s="16"/>
      <c r="R1811" s="16"/>
      <c r="S1811" s="16"/>
      <c r="T1811" s="16"/>
      <c r="U1811" s="16"/>
      <c r="V1811" s="16"/>
      <c r="W1811" s="16"/>
      <c r="X1811" s="16"/>
      <c r="Y1811" s="16"/>
      <c r="Z1811" s="16"/>
      <c r="AA1811" s="16"/>
      <c r="AB1811" s="16"/>
    </row>
    <row r="1812" spans="3:28" ht="12.75">
      <c r="C1812" s="16"/>
      <c r="D1812" s="16"/>
      <c r="E1812" s="16"/>
      <c r="F1812" s="16"/>
      <c r="G1812" s="16"/>
      <c r="H1812" s="16"/>
      <c r="I1812" s="16"/>
      <c r="J1812" s="16"/>
      <c r="K1812" s="16"/>
      <c r="L1812" s="16"/>
      <c r="M1812" s="16"/>
      <c r="N1812" s="16"/>
      <c r="O1812" s="16"/>
      <c r="P1812" s="16"/>
      <c r="Q1812" s="16"/>
      <c r="R1812" s="16"/>
      <c r="S1812" s="16"/>
      <c r="T1812" s="16"/>
      <c r="U1812" s="16"/>
      <c r="V1812" s="16"/>
      <c r="W1812" s="16"/>
      <c r="X1812" s="16"/>
      <c r="Y1812" s="16"/>
      <c r="Z1812" s="16"/>
      <c r="AA1812" s="16"/>
      <c r="AB1812" s="16"/>
    </row>
    <row r="1813" spans="3:28" ht="12.75">
      <c r="C1813" s="16"/>
      <c r="D1813" s="16"/>
      <c r="E1813" s="16"/>
      <c r="F1813" s="16"/>
      <c r="G1813" s="16"/>
      <c r="H1813" s="16"/>
      <c r="I1813" s="16"/>
      <c r="J1813" s="16"/>
      <c r="K1813" s="16"/>
      <c r="L1813" s="16"/>
      <c r="M1813" s="16"/>
      <c r="N1813" s="16"/>
      <c r="O1813" s="16"/>
      <c r="P1813" s="16"/>
      <c r="Q1813" s="16"/>
      <c r="R1813" s="16"/>
      <c r="S1813" s="16"/>
      <c r="T1813" s="16"/>
      <c r="U1813" s="16"/>
      <c r="V1813" s="16"/>
      <c r="W1813" s="16"/>
      <c r="X1813" s="16"/>
      <c r="Y1813" s="16"/>
      <c r="Z1813" s="16"/>
      <c r="AA1813" s="16"/>
      <c r="AB1813" s="16"/>
    </row>
    <row r="1814" spans="3:28" ht="12.75">
      <c r="C1814" s="16"/>
      <c r="D1814" s="16"/>
      <c r="E1814" s="16"/>
      <c r="F1814" s="16"/>
      <c r="G1814" s="16"/>
      <c r="H1814" s="16"/>
      <c r="I1814" s="16"/>
      <c r="J1814" s="16"/>
      <c r="K1814" s="16"/>
      <c r="L1814" s="16"/>
      <c r="M1814" s="16"/>
      <c r="N1814" s="16"/>
      <c r="O1814" s="16"/>
      <c r="P1814" s="16"/>
      <c r="Q1814" s="16"/>
      <c r="R1814" s="16"/>
      <c r="S1814" s="16"/>
      <c r="T1814" s="16"/>
      <c r="U1814" s="16"/>
      <c r="V1814" s="16"/>
      <c r="W1814" s="16"/>
      <c r="X1814" s="16"/>
      <c r="Y1814" s="16"/>
      <c r="Z1814" s="16"/>
      <c r="AA1814" s="16"/>
      <c r="AB1814" s="16"/>
    </row>
    <row r="1815" spans="3:28" ht="12.75">
      <c r="C1815" s="16"/>
      <c r="D1815" s="16"/>
      <c r="E1815" s="16"/>
      <c r="F1815" s="16"/>
      <c r="G1815" s="16"/>
      <c r="H1815" s="16"/>
      <c r="I1815" s="16"/>
      <c r="J1815" s="16"/>
      <c r="K1815" s="16"/>
      <c r="L1815" s="16"/>
      <c r="M1815" s="16"/>
      <c r="N1815" s="16"/>
      <c r="O1815" s="16"/>
      <c r="P1815" s="16"/>
      <c r="Q1815" s="16"/>
      <c r="R1815" s="16"/>
      <c r="S1815" s="16"/>
      <c r="T1815" s="16"/>
      <c r="U1815" s="16"/>
      <c r="V1815" s="16"/>
      <c r="W1815" s="16"/>
      <c r="X1815" s="16"/>
      <c r="Y1815" s="16"/>
      <c r="Z1815" s="16"/>
      <c r="AA1815" s="16"/>
      <c r="AB1815" s="16"/>
    </row>
    <row r="1816" spans="3:28" ht="12.75">
      <c r="C1816" s="16"/>
      <c r="D1816" s="16"/>
      <c r="E1816" s="16"/>
      <c r="F1816" s="16"/>
      <c r="G1816" s="16"/>
      <c r="H1816" s="16"/>
      <c r="I1816" s="16"/>
      <c r="J1816" s="16"/>
      <c r="K1816" s="16"/>
      <c r="L1816" s="16"/>
      <c r="M1816" s="16"/>
      <c r="N1816" s="16"/>
      <c r="O1816" s="16"/>
      <c r="P1816" s="16"/>
      <c r="Q1816" s="16"/>
      <c r="R1816" s="16"/>
      <c r="S1816" s="16"/>
      <c r="T1816" s="16"/>
      <c r="U1816" s="16"/>
      <c r="V1816" s="16"/>
      <c r="W1816" s="16"/>
      <c r="X1816" s="16"/>
      <c r="Y1816" s="16"/>
      <c r="Z1816" s="16"/>
      <c r="AA1816" s="16"/>
      <c r="AB1816" s="16"/>
    </row>
    <row r="1817" spans="3:28" ht="12.75">
      <c r="C1817" s="16"/>
      <c r="D1817" s="16"/>
      <c r="E1817" s="16"/>
      <c r="F1817" s="16"/>
      <c r="G1817" s="16"/>
      <c r="H1817" s="16"/>
      <c r="I1817" s="16"/>
      <c r="J1817" s="16"/>
      <c r="K1817" s="16"/>
      <c r="L1817" s="16"/>
      <c r="M1817" s="16"/>
      <c r="N1817" s="16"/>
      <c r="O1817" s="16"/>
      <c r="P1817" s="16"/>
      <c r="Q1817" s="16"/>
      <c r="R1817" s="16"/>
      <c r="S1817" s="16"/>
      <c r="T1817" s="16"/>
      <c r="U1817" s="16"/>
      <c r="V1817" s="16"/>
      <c r="W1817" s="16"/>
      <c r="X1817" s="16"/>
      <c r="Y1817" s="16"/>
      <c r="Z1817" s="16"/>
      <c r="AA1817" s="16"/>
      <c r="AB1817" s="16"/>
    </row>
    <row r="1818" spans="3:28" ht="12.75">
      <c r="C1818" s="16"/>
      <c r="D1818" s="16"/>
      <c r="E1818" s="16"/>
      <c r="F1818" s="16"/>
      <c r="G1818" s="16"/>
      <c r="H1818" s="16"/>
      <c r="I1818" s="16"/>
      <c r="J1818" s="16"/>
      <c r="K1818" s="16"/>
      <c r="L1818" s="16"/>
      <c r="M1818" s="16"/>
      <c r="N1818" s="16"/>
      <c r="O1818" s="16"/>
      <c r="P1818" s="16"/>
      <c r="Q1818" s="16"/>
      <c r="R1818" s="16"/>
      <c r="S1818" s="16"/>
      <c r="T1818" s="16"/>
      <c r="U1818" s="16"/>
      <c r="V1818" s="16"/>
      <c r="W1818" s="16"/>
      <c r="X1818" s="16"/>
      <c r="Y1818" s="16"/>
      <c r="Z1818" s="16"/>
      <c r="AA1818" s="16"/>
      <c r="AB1818" s="16"/>
    </row>
    <row r="1819" spans="3:28" ht="12.75">
      <c r="C1819" s="16"/>
      <c r="D1819" s="16"/>
      <c r="E1819" s="16"/>
      <c r="F1819" s="16"/>
      <c r="G1819" s="16"/>
      <c r="H1819" s="16"/>
      <c r="I1819" s="16"/>
      <c r="J1819" s="16"/>
      <c r="K1819" s="16"/>
      <c r="L1819" s="16"/>
      <c r="M1819" s="16"/>
      <c r="N1819" s="16"/>
      <c r="O1819" s="16"/>
      <c r="P1819" s="16"/>
      <c r="Q1819" s="16"/>
      <c r="R1819" s="16"/>
      <c r="S1819" s="16"/>
      <c r="T1819" s="16"/>
      <c r="U1819" s="16"/>
      <c r="V1819" s="16"/>
      <c r="W1819" s="16"/>
      <c r="X1819" s="16"/>
      <c r="Y1819" s="16"/>
      <c r="Z1819" s="16"/>
      <c r="AA1819" s="16"/>
      <c r="AB1819" s="16"/>
    </row>
    <row r="1820" spans="3:28" ht="12.75">
      <c r="C1820" s="16"/>
      <c r="D1820" s="16"/>
      <c r="E1820" s="16"/>
      <c r="F1820" s="16"/>
      <c r="G1820" s="16"/>
      <c r="H1820" s="16"/>
      <c r="I1820" s="16"/>
      <c r="J1820" s="16"/>
      <c r="K1820" s="16"/>
      <c r="L1820" s="16"/>
      <c r="M1820" s="16"/>
      <c r="N1820" s="16"/>
      <c r="O1820" s="16"/>
      <c r="P1820" s="16"/>
      <c r="Q1820" s="16"/>
      <c r="R1820" s="16"/>
      <c r="S1820" s="16"/>
      <c r="T1820" s="16"/>
      <c r="U1820" s="16"/>
      <c r="V1820" s="16"/>
      <c r="W1820" s="16"/>
      <c r="X1820" s="16"/>
      <c r="Y1820" s="16"/>
      <c r="Z1820" s="16"/>
      <c r="AA1820" s="16"/>
      <c r="AB1820" s="16"/>
    </row>
    <row r="1821" spans="3:28" ht="12.75">
      <c r="C1821" s="16"/>
      <c r="D1821" s="16"/>
      <c r="E1821" s="16"/>
      <c r="F1821" s="16"/>
      <c r="G1821" s="16"/>
      <c r="H1821" s="16"/>
      <c r="I1821" s="16"/>
      <c r="J1821" s="16"/>
      <c r="K1821" s="16"/>
      <c r="L1821" s="16"/>
      <c r="M1821" s="16"/>
      <c r="N1821" s="16"/>
      <c r="O1821" s="16"/>
      <c r="P1821" s="16"/>
      <c r="Q1821" s="16"/>
      <c r="R1821" s="16"/>
      <c r="S1821" s="16"/>
      <c r="T1821" s="16"/>
      <c r="U1821" s="16"/>
      <c r="V1821" s="16"/>
      <c r="W1821" s="16"/>
      <c r="X1821" s="16"/>
      <c r="Y1821" s="16"/>
      <c r="Z1821" s="16"/>
      <c r="AA1821" s="16"/>
      <c r="AB1821" s="16"/>
    </row>
    <row r="1822" spans="3:28" ht="12.75">
      <c r="C1822" s="16"/>
      <c r="D1822" s="16"/>
      <c r="E1822" s="16"/>
      <c r="F1822" s="16"/>
      <c r="G1822" s="16"/>
      <c r="H1822" s="16"/>
      <c r="I1822" s="16"/>
      <c r="J1822" s="16"/>
      <c r="K1822" s="16"/>
      <c r="L1822" s="16"/>
      <c r="M1822" s="16"/>
      <c r="N1822" s="16"/>
      <c r="O1822" s="16"/>
      <c r="P1822" s="16"/>
      <c r="Q1822" s="16"/>
      <c r="R1822" s="16"/>
      <c r="S1822" s="16"/>
      <c r="T1822" s="16"/>
      <c r="U1822" s="16"/>
      <c r="V1822" s="16"/>
      <c r="W1822" s="16"/>
      <c r="X1822" s="16"/>
      <c r="Y1822" s="16"/>
      <c r="Z1822" s="16"/>
      <c r="AA1822" s="16"/>
      <c r="AB1822" s="16"/>
    </row>
    <row r="1823" spans="3:28" ht="12.75">
      <c r="C1823" s="16"/>
      <c r="D1823" s="16"/>
      <c r="E1823" s="16"/>
      <c r="F1823" s="16"/>
      <c r="G1823" s="16"/>
      <c r="H1823" s="16"/>
      <c r="I1823" s="16"/>
      <c r="J1823" s="16"/>
      <c r="K1823" s="16"/>
      <c r="L1823" s="16"/>
      <c r="M1823" s="16"/>
      <c r="N1823" s="16"/>
      <c r="O1823" s="16"/>
      <c r="P1823" s="16"/>
      <c r="Q1823" s="16"/>
      <c r="R1823" s="16"/>
      <c r="S1823" s="16"/>
      <c r="T1823" s="16"/>
      <c r="U1823" s="16"/>
      <c r="V1823" s="16"/>
      <c r="W1823" s="16"/>
      <c r="X1823" s="16"/>
      <c r="Y1823" s="16"/>
      <c r="Z1823" s="16"/>
      <c r="AA1823" s="16"/>
      <c r="AB1823" s="16"/>
    </row>
    <row r="1824" spans="3:28" ht="12.75">
      <c r="C1824" s="16"/>
      <c r="D1824" s="16"/>
      <c r="E1824" s="16"/>
      <c r="F1824" s="16"/>
      <c r="G1824" s="16"/>
      <c r="H1824" s="16"/>
      <c r="I1824" s="16"/>
      <c r="J1824" s="16"/>
      <c r="K1824" s="16"/>
      <c r="L1824" s="16"/>
      <c r="M1824" s="16"/>
      <c r="N1824" s="16"/>
      <c r="O1824" s="16"/>
      <c r="P1824" s="16"/>
      <c r="Q1824" s="16"/>
      <c r="R1824" s="16"/>
      <c r="S1824" s="16"/>
      <c r="T1824" s="16"/>
      <c r="U1824" s="16"/>
      <c r="V1824" s="16"/>
      <c r="W1824" s="16"/>
      <c r="X1824" s="16"/>
      <c r="Y1824" s="16"/>
      <c r="Z1824" s="16"/>
      <c r="AA1824" s="16"/>
      <c r="AB1824" s="16"/>
    </row>
    <row r="1825" spans="3:28" ht="12.75">
      <c r="C1825" s="16"/>
      <c r="D1825" s="16"/>
      <c r="E1825" s="16"/>
      <c r="F1825" s="16"/>
      <c r="G1825" s="16"/>
      <c r="H1825" s="16"/>
      <c r="I1825" s="16"/>
      <c r="J1825" s="16"/>
      <c r="K1825" s="16"/>
      <c r="L1825" s="16"/>
      <c r="M1825" s="16"/>
      <c r="N1825" s="16"/>
      <c r="O1825" s="16"/>
      <c r="P1825" s="16"/>
      <c r="Q1825" s="16"/>
      <c r="R1825" s="16"/>
      <c r="S1825" s="16"/>
      <c r="T1825" s="16"/>
      <c r="U1825" s="16"/>
      <c r="V1825" s="16"/>
      <c r="W1825" s="16"/>
      <c r="X1825" s="16"/>
      <c r="Y1825" s="16"/>
      <c r="Z1825" s="16"/>
      <c r="AA1825" s="16"/>
      <c r="AB1825" s="16"/>
    </row>
    <row r="1826" spans="3:28" ht="12.75">
      <c r="C1826" s="16"/>
      <c r="D1826" s="16"/>
      <c r="E1826" s="16"/>
      <c r="F1826" s="16"/>
      <c r="G1826" s="16"/>
      <c r="H1826" s="16"/>
      <c r="I1826" s="16"/>
      <c r="J1826" s="16"/>
      <c r="K1826" s="16"/>
      <c r="L1826" s="16"/>
      <c r="M1826" s="16"/>
      <c r="N1826" s="16"/>
      <c r="O1826" s="16"/>
      <c r="P1826" s="16"/>
      <c r="Q1826" s="16"/>
      <c r="R1826" s="16"/>
      <c r="S1826" s="16"/>
      <c r="T1826" s="16"/>
      <c r="U1826" s="16"/>
      <c r="V1826" s="16"/>
      <c r="W1826" s="16"/>
      <c r="X1826" s="16"/>
      <c r="Y1826" s="16"/>
      <c r="Z1826" s="16"/>
      <c r="AA1826" s="16"/>
      <c r="AB1826" s="16"/>
    </row>
    <row r="1827" spans="3:28" ht="12.75">
      <c r="C1827" s="16"/>
      <c r="D1827" s="16"/>
      <c r="E1827" s="16"/>
      <c r="F1827" s="16"/>
      <c r="G1827" s="16"/>
      <c r="H1827" s="16"/>
      <c r="I1827" s="16"/>
      <c r="J1827" s="16"/>
      <c r="K1827" s="16"/>
      <c r="L1827" s="16"/>
      <c r="M1827" s="16"/>
      <c r="N1827" s="16"/>
      <c r="O1827" s="16"/>
      <c r="P1827" s="16"/>
      <c r="Q1827" s="16"/>
      <c r="R1827" s="16"/>
      <c r="S1827" s="16"/>
      <c r="T1827" s="16"/>
      <c r="U1827" s="16"/>
      <c r="V1827" s="16"/>
      <c r="W1827" s="16"/>
      <c r="X1827" s="16"/>
      <c r="Y1827" s="16"/>
      <c r="Z1827" s="16"/>
      <c r="AA1827" s="16"/>
      <c r="AB1827" s="16"/>
    </row>
    <row r="1828" spans="3:28" ht="12.75">
      <c r="C1828" s="16"/>
      <c r="D1828" s="16"/>
      <c r="E1828" s="16"/>
      <c r="F1828" s="16"/>
      <c r="G1828" s="16"/>
      <c r="H1828" s="16"/>
      <c r="I1828" s="16"/>
      <c r="J1828" s="16"/>
      <c r="K1828" s="16"/>
      <c r="L1828" s="16"/>
      <c r="M1828" s="16"/>
      <c r="N1828" s="16"/>
      <c r="O1828" s="16"/>
      <c r="P1828" s="16"/>
      <c r="Q1828" s="16"/>
      <c r="R1828" s="16"/>
      <c r="S1828" s="16"/>
      <c r="T1828" s="16"/>
      <c r="U1828" s="16"/>
      <c r="V1828" s="16"/>
      <c r="W1828" s="16"/>
      <c r="X1828" s="16"/>
      <c r="Y1828" s="16"/>
      <c r="Z1828" s="16"/>
      <c r="AA1828" s="16"/>
      <c r="AB1828" s="16"/>
    </row>
    <row r="1829" spans="3:28" ht="12.75">
      <c r="C1829" s="16"/>
      <c r="D1829" s="16"/>
      <c r="E1829" s="16"/>
      <c r="F1829" s="16"/>
      <c r="G1829" s="16"/>
      <c r="H1829" s="16"/>
      <c r="I1829" s="16"/>
      <c r="J1829" s="16"/>
      <c r="K1829" s="16"/>
      <c r="L1829" s="16"/>
      <c r="M1829" s="16"/>
      <c r="N1829" s="16"/>
      <c r="O1829" s="16"/>
      <c r="P1829" s="16"/>
      <c r="Q1829" s="16"/>
      <c r="R1829" s="16"/>
      <c r="S1829" s="16"/>
      <c r="T1829" s="16"/>
      <c r="U1829" s="16"/>
      <c r="V1829" s="16"/>
      <c r="W1829" s="16"/>
      <c r="X1829" s="16"/>
      <c r="Y1829" s="16"/>
      <c r="Z1829" s="16"/>
      <c r="AA1829" s="16"/>
      <c r="AB1829" s="16"/>
    </row>
    <row r="1830" spans="3:28" ht="12.75">
      <c r="C1830" s="16"/>
      <c r="D1830" s="16"/>
      <c r="E1830" s="16"/>
      <c r="F1830" s="16"/>
      <c r="G1830" s="16"/>
      <c r="H1830" s="16"/>
      <c r="I1830" s="16"/>
      <c r="J1830" s="16"/>
      <c r="K1830" s="16"/>
      <c r="L1830" s="16"/>
      <c r="M1830" s="16"/>
      <c r="N1830" s="16"/>
      <c r="O1830" s="16"/>
      <c r="P1830" s="16"/>
      <c r="Q1830" s="16"/>
      <c r="R1830" s="16"/>
      <c r="S1830" s="16"/>
      <c r="T1830" s="16"/>
      <c r="U1830" s="16"/>
      <c r="V1830" s="16"/>
      <c r="W1830" s="16"/>
      <c r="X1830" s="16"/>
      <c r="Y1830" s="16"/>
      <c r="Z1830" s="16"/>
      <c r="AA1830" s="16"/>
      <c r="AB1830" s="16"/>
    </row>
    <row r="1831" spans="3:28" ht="12.75">
      <c r="C1831" s="16"/>
      <c r="D1831" s="16"/>
      <c r="E1831" s="16"/>
      <c r="F1831" s="16"/>
      <c r="G1831" s="16"/>
      <c r="H1831" s="16"/>
      <c r="I1831" s="16"/>
      <c r="J1831" s="16"/>
      <c r="K1831" s="16"/>
      <c r="L1831" s="16"/>
      <c r="M1831" s="16"/>
      <c r="N1831" s="16"/>
      <c r="O1831" s="16"/>
      <c r="P1831" s="16"/>
      <c r="Q1831" s="16"/>
      <c r="R1831" s="16"/>
      <c r="S1831" s="16"/>
      <c r="T1831" s="16"/>
      <c r="U1831" s="16"/>
      <c r="V1831" s="16"/>
      <c r="W1831" s="16"/>
      <c r="X1831" s="16"/>
      <c r="Y1831" s="16"/>
      <c r="Z1831" s="16"/>
      <c r="AA1831" s="16"/>
      <c r="AB1831" s="16"/>
    </row>
    <row r="1832" spans="3:28" ht="12.75">
      <c r="C1832" s="16"/>
      <c r="D1832" s="16"/>
      <c r="E1832" s="16"/>
      <c r="F1832" s="16"/>
      <c r="G1832" s="16"/>
      <c r="H1832" s="16"/>
      <c r="I1832" s="16"/>
      <c r="J1832" s="16"/>
      <c r="K1832" s="16"/>
      <c r="L1832" s="16"/>
      <c r="M1832" s="16"/>
      <c r="N1832" s="16"/>
      <c r="O1832" s="16"/>
      <c r="P1832" s="16"/>
      <c r="Q1832" s="16"/>
      <c r="R1832" s="16"/>
      <c r="S1832" s="16"/>
      <c r="T1832" s="16"/>
      <c r="U1832" s="16"/>
      <c r="V1832" s="16"/>
      <c r="W1832" s="16"/>
      <c r="X1832" s="16"/>
      <c r="Y1832" s="16"/>
      <c r="Z1832" s="16"/>
      <c r="AA1832" s="16"/>
      <c r="AB1832" s="16"/>
    </row>
    <row r="1833" spans="3:28" ht="12.75">
      <c r="C1833" s="16"/>
      <c r="D1833" s="16"/>
      <c r="E1833" s="16"/>
      <c r="F1833" s="16"/>
      <c r="G1833" s="16"/>
      <c r="H1833" s="16"/>
      <c r="I1833" s="16"/>
      <c r="J1833" s="16"/>
      <c r="K1833" s="16"/>
      <c r="L1833" s="16"/>
      <c r="M1833" s="16"/>
      <c r="N1833" s="16"/>
      <c r="O1833" s="16"/>
      <c r="P1833" s="16"/>
      <c r="Q1833" s="16"/>
      <c r="R1833" s="16"/>
      <c r="S1833" s="16"/>
      <c r="T1833" s="16"/>
      <c r="U1833" s="16"/>
      <c r="V1833" s="16"/>
      <c r="W1833" s="16"/>
      <c r="X1833" s="16"/>
      <c r="Y1833" s="16"/>
      <c r="Z1833" s="16"/>
      <c r="AA1833" s="16"/>
      <c r="AB1833" s="16"/>
    </row>
    <row r="1834" spans="3:28" ht="12.75">
      <c r="C1834" s="16"/>
      <c r="D1834" s="16"/>
      <c r="E1834" s="16"/>
      <c r="F1834" s="16"/>
      <c r="G1834" s="16"/>
      <c r="H1834" s="16"/>
      <c r="I1834" s="16"/>
      <c r="J1834" s="16"/>
      <c r="K1834" s="16"/>
      <c r="L1834" s="16"/>
      <c r="M1834" s="16"/>
      <c r="N1834" s="16"/>
      <c r="O1834" s="16"/>
      <c r="P1834" s="16"/>
      <c r="Q1834" s="16"/>
      <c r="R1834" s="16"/>
      <c r="S1834" s="16"/>
      <c r="T1834" s="16"/>
      <c r="U1834" s="16"/>
      <c r="V1834" s="16"/>
      <c r="W1834" s="16"/>
      <c r="X1834" s="16"/>
      <c r="Y1834" s="16"/>
      <c r="Z1834" s="16"/>
      <c r="AA1834" s="16"/>
      <c r="AB1834" s="16"/>
    </row>
    <row r="1835" spans="3:28" ht="12.75">
      <c r="C1835" s="16"/>
      <c r="D1835" s="16"/>
      <c r="E1835" s="16"/>
      <c r="F1835" s="16"/>
      <c r="G1835" s="16"/>
      <c r="H1835" s="16"/>
      <c r="I1835" s="16"/>
      <c r="J1835" s="16"/>
      <c r="K1835" s="16"/>
      <c r="L1835" s="16"/>
      <c r="M1835" s="16"/>
      <c r="N1835" s="16"/>
      <c r="O1835" s="16"/>
      <c r="P1835" s="16"/>
      <c r="Q1835" s="16"/>
      <c r="R1835" s="16"/>
      <c r="S1835" s="16"/>
      <c r="T1835" s="16"/>
      <c r="U1835" s="16"/>
      <c r="V1835" s="16"/>
      <c r="W1835" s="16"/>
      <c r="X1835" s="16"/>
      <c r="Y1835" s="16"/>
      <c r="Z1835" s="16"/>
      <c r="AA1835" s="16"/>
      <c r="AB1835" s="16"/>
    </row>
    <row r="1836" spans="3:28" ht="12.75">
      <c r="C1836" s="16"/>
      <c r="D1836" s="16"/>
      <c r="E1836" s="16"/>
      <c r="F1836" s="16"/>
      <c r="G1836" s="16"/>
      <c r="H1836" s="16"/>
      <c r="I1836" s="16"/>
      <c r="J1836" s="16"/>
      <c r="K1836" s="16"/>
      <c r="L1836" s="16"/>
      <c r="M1836" s="16"/>
      <c r="N1836" s="16"/>
      <c r="O1836" s="16"/>
      <c r="P1836" s="16"/>
      <c r="Q1836" s="16"/>
      <c r="R1836" s="16"/>
      <c r="S1836" s="16"/>
      <c r="T1836" s="16"/>
      <c r="U1836" s="16"/>
      <c r="V1836" s="16"/>
      <c r="W1836" s="16"/>
      <c r="X1836" s="16"/>
      <c r="Y1836" s="16"/>
      <c r="Z1836" s="16"/>
      <c r="AA1836" s="16"/>
      <c r="AB1836" s="16"/>
    </row>
    <row r="1837" spans="3:28" ht="12.75">
      <c r="C1837" s="16"/>
      <c r="D1837" s="16"/>
      <c r="E1837" s="16"/>
      <c r="F1837" s="16"/>
      <c r="G1837" s="16"/>
      <c r="H1837" s="16"/>
      <c r="I1837" s="16"/>
      <c r="J1837" s="16"/>
      <c r="K1837" s="16"/>
      <c r="L1837" s="16"/>
      <c r="M1837" s="16"/>
      <c r="N1837" s="16"/>
      <c r="O1837" s="16"/>
      <c r="P1837" s="16"/>
      <c r="Q1837" s="16"/>
      <c r="R1837" s="16"/>
      <c r="S1837" s="16"/>
      <c r="T1837" s="16"/>
      <c r="U1837" s="16"/>
      <c r="V1837" s="16"/>
      <c r="W1837" s="16"/>
      <c r="X1837" s="16"/>
      <c r="Y1837" s="16"/>
      <c r="Z1837" s="16"/>
      <c r="AA1837" s="16"/>
      <c r="AB1837" s="16"/>
    </row>
    <row r="1838" spans="3:28" ht="12.75">
      <c r="C1838" s="16"/>
      <c r="D1838" s="16"/>
      <c r="E1838" s="16"/>
      <c r="F1838" s="16"/>
      <c r="G1838" s="16"/>
      <c r="H1838" s="16"/>
      <c r="I1838" s="16"/>
      <c r="J1838" s="16"/>
      <c r="K1838" s="16"/>
      <c r="L1838" s="16"/>
      <c r="M1838" s="16"/>
      <c r="N1838" s="16"/>
      <c r="O1838" s="16"/>
      <c r="P1838" s="16"/>
      <c r="Q1838" s="16"/>
      <c r="R1838" s="16"/>
      <c r="S1838" s="16"/>
      <c r="T1838" s="16"/>
      <c r="U1838" s="16"/>
      <c r="V1838" s="16"/>
      <c r="W1838" s="16"/>
      <c r="X1838" s="16"/>
      <c r="Y1838" s="16"/>
      <c r="Z1838" s="16"/>
      <c r="AA1838" s="16"/>
      <c r="AB1838" s="16"/>
    </row>
    <row r="1839" spans="3:28" ht="12.75">
      <c r="C1839" s="16"/>
      <c r="D1839" s="16"/>
      <c r="E1839" s="16"/>
      <c r="F1839" s="16"/>
      <c r="G1839" s="16"/>
      <c r="H1839" s="16"/>
      <c r="I1839" s="16"/>
      <c r="J1839" s="16"/>
      <c r="K1839" s="16"/>
      <c r="L1839" s="16"/>
      <c r="M1839" s="16"/>
      <c r="N1839" s="16"/>
      <c r="O1839" s="16"/>
      <c r="P1839" s="16"/>
      <c r="Q1839" s="16"/>
      <c r="R1839" s="16"/>
      <c r="S1839" s="16"/>
      <c r="T1839" s="16"/>
      <c r="U1839" s="16"/>
      <c r="V1839" s="16"/>
      <c r="W1839" s="16"/>
      <c r="X1839" s="16"/>
      <c r="Y1839" s="16"/>
      <c r="Z1839" s="16"/>
      <c r="AA1839" s="16"/>
      <c r="AB1839" s="16"/>
    </row>
    <row r="1840" spans="3:28" ht="12.75">
      <c r="C1840" s="16"/>
      <c r="D1840" s="16"/>
      <c r="E1840" s="16"/>
      <c r="F1840" s="16"/>
      <c r="G1840" s="16"/>
      <c r="H1840" s="16"/>
      <c r="I1840" s="16"/>
      <c r="J1840" s="16"/>
      <c r="K1840" s="16"/>
      <c r="L1840" s="16"/>
      <c r="M1840" s="16"/>
      <c r="N1840" s="16"/>
      <c r="O1840" s="16"/>
      <c r="P1840" s="16"/>
      <c r="Q1840" s="16"/>
      <c r="R1840" s="16"/>
      <c r="S1840" s="16"/>
      <c r="T1840" s="16"/>
      <c r="U1840" s="16"/>
      <c r="V1840" s="16"/>
      <c r="W1840" s="16"/>
      <c r="X1840" s="16"/>
      <c r="Y1840" s="16"/>
      <c r="Z1840" s="16"/>
      <c r="AA1840" s="16"/>
      <c r="AB1840" s="16"/>
    </row>
    <row r="1841" spans="3:28" ht="12.75">
      <c r="C1841" s="16"/>
      <c r="D1841" s="16"/>
      <c r="E1841" s="16"/>
      <c r="F1841" s="16"/>
      <c r="G1841" s="16"/>
      <c r="H1841" s="16"/>
      <c r="I1841" s="16"/>
      <c r="J1841" s="16"/>
      <c r="K1841" s="16"/>
      <c r="L1841" s="16"/>
      <c r="M1841" s="16"/>
      <c r="N1841" s="16"/>
      <c r="O1841" s="16"/>
      <c r="P1841" s="16"/>
      <c r="Q1841" s="16"/>
      <c r="R1841" s="16"/>
      <c r="S1841" s="16"/>
      <c r="T1841" s="16"/>
      <c r="U1841" s="16"/>
      <c r="V1841" s="16"/>
      <c r="W1841" s="16"/>
      <c r="X1841" s="16"/>
      <c r="Y1841" s="16"/>
      <c r="Z1841" s="16"/>
      <c r="AA1841" s="16"/>
      <c r="AB1841" s="16"/>
    </row>
    <row r="1842" spans="3:28" ht="12.75">
      <c r="C1842" s="16"/>
      <c r="D1842" s="16"/>
      <c r="E1842" s="16"/>
      <c r="F1842" s="16"/>
      <c r="G1842" s="16"/>
      <c r="H1842" s="16"/>
      <c r="I1842" s="16"/>
      <c r="J1842" s="16"/>
      <c r="K1842" s="16"/>
      <c r="L1842" s="16"/>
      <c r="M1842" s="16"/>
      <c r="N1842" s="16"/>
      <c r="O1842" s="16"/>
      <c r="P1842" s="16"/>
      <c r="Q1842" s="16"/>
      <c r="R1842" s="16"/>
      <c r="S1842" s="16"/>
      <c r="T1842" s="16"/>
      <c r="U1842" s="16"/>
      <c r="V1842" s="16"/>
      <c r="W1842" s="16"/>
      <c r="X1842" s="16"/>
      <c r="Y1842" s="16"/>
      <c r="Z1842" s="16"/>
      <c r="AA1842" s="16"/>
      <c r="AB1842" s="16"/>
    </row>
    <row r="1843" spans="3:28" ht="12.75">
      <c r="C1843" s="16"/>
      <c r="D1843" s="16"/>
      <c r="E1843" s="16"/>
      <c r="F1843" s="16"/>
      <c r="G1843" s="16"/>
      <c r="H1843" s="16"/>
      <c r="I1843" s="16"/>
      <c r="J1843" s="16"/>
      <c r="K1843" s="16"/>
      <c r="L1843" s="16"/>
      <c r="M1843" s="16"/>
      <c r="N1843" s="16"/>
      <c r="O1843" s="16"/>
      <c r="P1843" s="16"/>
      <c r="Q1843" s="16"/>
      <c r="R1843" s="16"/>
      <c r="S1843" s="16"/>
      <c r="T1843" s="16"/>
      <c r="U1843" s="16"/>
      <c r="V1843" s="16"/>
      <c r="W1843" s="16"/>
      <c r="X1843" s="16"/>
      <c r="Y1843" s="16"/>
      <c r="Z1843" s="16"/>
      <c r="AA1843" s="16"/>
      <c r="AB1843" s="16"/>
    </row>
    <row r="1844" spans="3:28" ht="12.75">
      <c r="C1844" s="16"/>
      <c r="D1844" s="16"/>
      <c r="E1844" s="16"/>
      <c r="F1844" s="16"/>
      <c r="G1844" s="16"/>
      <c r="H1844" s="16"/>
      <c r="I1844" s="16"/>
      <c r="J1844" s="16"/>
      <c r="K1844" s="16"/>
      <c r="L1844" s="16"/>
      <c r="M1844" s="16"/>
      <c r="N1844" s="16"/>
      <c r="O1844" s="16"/>
      <c r="P1844" s="16"/>
      <c r="Q1844" s="16"/>
      <c r="R1844" s="16"/>
      <c r="S1844" s="16"/>
      <c r="T1844" s="16"/>
      <c r="U1844" s="16"/>
      <c r="V1844" s="16"/>
      <c r="W1844" s="16"/>
      <c r="X1844" s="16"/>
      <c r="Y1844" s="16"/>
      <c r="Z1844" s="16"/>
      <c r="AA1844" s="16"/>
      <c r="AB1844" s="16"/>
    </row>
    <row r="1845" spans="3:28" ht="12.75">
      <c r="C1845" s="16"/>
      <c r="D1845" s="16"/>
      <c r="E1845" s="16"/>
      <c r="F1845" s="16"/>
      <c r="G1845" s="16"/>
      <c r="H1845" s="16"/>
      <c r="I1845" s="16"/>
      <c r="J1845" s="16"/>
      <c r="K1845" s="16"/>
      <c r="L1845" s="16"/>
      <c r="M1845" s="16"/>
      <c r="N1845" s="16"/>
      <c r="O1845" s="16"/>
      <c r="P1845" s="16"/>
      <c r="Q1845" s="16"/>
      <c r="R1845" s="16"/>
      <c r="S1845" s="16"/>
      <c r="T1845" s="16"/>
      <c r="U1845" s="16"/>
      <c r="V1845" s="16"/>
      <c r="W1845" s="16"/>
      <c r="X1845" s="16"/>
      <c r="Y1845" s="16"/>
      <c r="Z1845" s="16"/>
      <c r="AA1845" s="16"/>
      <c r="AB1845" s="16"/>
    </row>
    <row r="1846" spans="3:28" ht="12.75">
      <c r="C1846" s="16"/>
      <c r="D1846" s="16"/>
      <c r="E1846" s="16"/>
      <c r="F1846" s="16"/>
      <c r="G1846" s="16"/>
      <c r="H1846" s="16"/>
      <c r="I1846" s="16"/>
      <c r="J1846" s="16"/>
      <c r="K1846" s="16"/>
      <c r="L1846" s="16"/>
      <c r="M1846" s="16"/>
      <c r="N1846" s="16"/>
      <c r="O1846" s="16"/>
      <c r="P1846" s="16"/>
      <c r="Q1846" s="16"/>
      <c r="R1846" s="16"/>
      <c r="S1846" s="16"/>
      <c r="T1846" s="16"/>
      <c r="U1846" s="16"/>
      <c r="V1846" s="16"/>
      <c r="W1846" s="16"/>
      <c r="X1846" s="16"/>
      <c r="Y1846" s="16"/>
      <c r="Z1846" s="16"/>
      <c r="AA1846" s="16"/>
      <c r="AB1846" s="16"/>
    </row>
    <row r="1847" spans="3:28" ht="12.75">
      <c r="C1847" s="16"/>
      <c r="D1847" s="16"/>
      <c r="E1847" s="16"/>
      <c r="F1847" s="16"/>
      <c r="G1847" s="16"/>
      <c r="H1847" s="16"/>
      <c r="I1847" s="16"/>
      <c r="J1847" s="16"/>
      <c r="K1847" s="16"/>
      <c r="L1847" s="16"/>
      <c r="M1847" s="16"/>
      <c r="N1847" s="16"/>
      <c r="O1847" s="16"/>
      <c r="P1847" s="16"/>
      <c r="Q1847" s="16"/>
      <c r="R1847" s="16"/>
      <c r="S1847" s="16"/>
      <c r="T1847" s="16"/>
      <c r="U1847" s="16"/>
      <c r="V1847" s="16"/>
      <c r="W1847" s="16"/>
      <c r="X1847" s="16"/>
      <c r="Y1847" s="16"/>
      <c r="Z1847" s="16"/>
      <c r="AA1847" s="16"/>
      <c r="AB1847" s="16"/>
    </row>
    <row r="1848" spans="3:28" ht="12.75">
      <c r="C1848" s="16"/>
      <c r="D1848" s="16"/>
      <c r="E1848" s="16"/>
      <c r="F1848" s="16"/>
      <c r="G1848" s="16"/>
      <c r="H1848" s="16"/>
      <c r="I1848" s="16"/>
      <c r="J1848" s="16"/>
      <c r="K1848" s="16"/>
      <c r="L1848" s="16"/>
      <c r="M1848" s="16"/>
      <c r="N1848" s="16"/>
      <c r="O1848" s="16"/>
      <c r="P1848" s="16"/>
      <c r="Q1848" s="16"/>
      <c r="R1848" s="16"/>
      <c r="S1848" s="16"/>
      <c r="T1848" s="16"/>
      <c r="U1848" s="16"/>
      <c r="V1848" s="16"/>
      <c r="W1848" s="16"/>
      <c r="X1848" s="16"/>
      <c r="Y1848" s="16"/>
      <c r="Z1848" s="16"/>
      <c r="AA1848" s="16"/>
      <c r="AB1848" s="16"/>
    </row>
    <row r="1849" spans="3:28" ht="12.75">
      <c r="C1849" s="16"/>
      <c r="D1849" s="16"/>
      <c r="E1849" s="16"/>
      <c r="F1849" s="16"/>
      <c r="G1849" s="16"/>
      <c r="H1849" s="16"/>
      <c r="I1849" s="16"/>
      <c r="J1849" s="16"/>
      <c r="K1849" s="16"/>
      <c r="L1849" s="16"/>
      <c r="M1849" s="16"/>
      <c r="N1849" s="16"/>
      <c r="O1849" s="16"/>
      <c r="P1849" s="16"/>
      <c r="Q1849" s="16"/>
      <c r="R1849" s="16"/>
      <c r="S1849" s="16"/>
      <c r="T1849" s="16"/>
      <c r="U1849" s="16"/>
      <c r="V1849" s="16"/>
      <c r="W1849" s="16"/>
      <c r="X1849" s="16"/>
      <c r="Y1849" s="16"/>
      <c r="Z1849" s="16"/>
      <c r="AA1849" s="16"/>
      <c r="AB1849" s="16"/>
    </row>
    <row r="1850" spans="3:28" ht="12.75">
      <c r="C1850" s="16"/>
      <c r="D1850" s="16"/>
      <c r="E1850" s="16"/>
      <c r="F1850" s="16"/>
      <c r="G1850" s="16"/>
      <c r="H1850" s="16"/>
      <c r="I1850" s="16"/>
      <c r="J1850" s="16"/>
      <c r="K1850" s="16"/>
      <c r="L1850" s="16"/>
      <c r="M1850" s="16"/>
      <c r="N1850" s="16"/>
      <c r="O1850" s="16"/>
      <c r="P1850" s="16"/>
      <c r="Q1850" s="16"/>
      <c r="R1850" s="16"/>
      <c r="S1850" s="16"/>
      <c r="T1850" s="16"/>
      <c r="U1850" s="16"/>
      <c r="V1850" s="16"/>
      <c r="W1850" s="16"/>
      <c r="X1850" s="16"/>
      <c r="Y1850" s="16"/>
      <c r="Z1850" s="16"/>
      <c r="AA1850" s="16"/>
      <c r="AB1850" s="16"/>
    </row>
    <row r="1851" spans="3:28" ht="12.75">
      <c r="C1851" s="16"/>
      <c r="D1851" s="16"/>
      <c r="E1851" s="16"/>
      <c r="F1851" s="16"/>
      <c r="G1851" s="16"/>
      <c r="H1851" s="16"/>
      <c r="I1851" s="16"/>
      <c r="J1851" s="16"/>
      <c r="K1851" s="16"/>
      <c r="L1851" s="16"/>
      <c r="M1851" s="16"/>
      <c r="N1851" s="16"/>
      <c r="O1851" s="16"/>
      <c r="P1851" s="16"/>
      <c r="Q1851" s="16"/>
      <c r="R1851" s="16"/>
      <c r="S1851" s="16"/>
      <c r="T1851" s="16"/>
      <c r="U1851" s="16"/>
      <c r="V1851" s="16"/>
      <c r="W1851" s="16"/>
      <c r="X1851" s="16"/>
      <c r="Y1851" s="16"/>
      <c r="Z1851" s="16"/>
      <c r="AA1851" s="16"/>
      <c r="AB1851" s="16"/>
    </row>
    <row r="1852" spans="3:28" ht="12.75">
      <c r="C1852" s="16"/>
      <c r="D1852" s="16"/>
      <c r="E1852" s="16"/>
      <c r="F1852" s="16"/>
      <c r="G1852" s="16"/>
      <c r="H1852" s="16"/>
      <c r="I1852" s="16"/>
      <c r="J1852" s="16"/>
      <c r="K1852" s="16"/>
      <c r="L1852" s="16"/>
      <c r="M1852" s="16"/>
      <c r="N1852" s="16"/>
      <c r="O1852" s="16"/>
      <c r="P1852" s="16"/>
      <c r="Q1852" s="16"/>
      <c r="R1852" s="16"/>
      <c r="S1852" s="16"/>
      <c r="T1852" s="16"/>
      <c r="U1852" s="16"/>
      <c r="V1852" s="16"/>
      <c r="W1852" s="16"/>
      <c r="X1852" s="16"/>
      <c r="Y1852" s="16"/>
      <c r="Z1852" s="16"/>
      <c r="AA1852" s="16"/>
      <c r="AB1852" s="16"/>
    </row>
    <row r="1853" spans="3:28" ht="12.75">
      <c r="C1853" s="16"/>
      <c r="D1853" s="16"/>
      <c r="E1853" s="16"/>
      <c r="F1853" s="16"/>
      <c r="G1853" s="16"/>
      <c r="H1853" s="16"/>
      <c r="I1853" s="16"/>
      <c r="J1853" s="16"/>
      <c r="K1853" s="16"/>
      <c r="L1853" s="16"/>
      <c r="M1853" s="16"/>
      <c r="N1853" s="16"/>
      <c r="O1853" s="16"/>
      <c r="P1853" s="16"/>
      <c r="Q1853" s="16"/>
      <c r="R1853" s="16"/>
      <c r="S1853" s="16"/>
      <c r="T1853" s="16"/>
      <c r="U1853" s="16"/>
      <c r="V1853" s="16"/>
      <c r="W1853" s="16"/>
      <c r="X1853" s="16"/>
      <c r="Y1853" s="16"/>
      <c r="Z1853" s="16"/>
      <c r="AA1853" s="16"/>
      <c r="AB1853" s="16"/>
    </row>
    <row r="1854" spans="3:28" ht="12.75">
      <c r="C1854" s="16"/>
      <c r="D1854" s="16"/>
      <c r="E1854" s="16"/>
      <c r="F1854" s="16"/>
      <c r="G1854" s="16"/>
      <c r="H1854" s="16"/>
      <c r="I1854" s="16"/>
      <c r="J1854" s="16"/>
      <c r="K1854" s="16"/>
      <c r="L1854" s="16"/>
      <c r="M1854" s="16"/>
      <c r="N1854" s="16"/>
      <c r="O1854" s="16"/>
      <c r="P1854" s="16"/>
      <c r="Q1854" s="16"/>
      <c r="R1854" s="16"/>
      <c r="S1854" s="16"/>
      <c r="T1854" s="16"/>
      <c r="U1854" s="16"/>
      <c r="V1854" s="16"/>
      <c r="W1854" s="16"/>
      <c r="X1854" s="16"/>
      <c r="Y1854" s="16"/>
      <c r="Z1854" s="16"/>
      <c r="AA1854" s="16"/>
      <c r="AB1854" s="16"/>
    </row>
    <row r="1855" spans="3:28" ht="12.75">
      <c r="C1855" s="16"/>
      <c r="D1855" s="16"/>
      <c r="E1855" s="16"/>
      <c r="F1855" s="16"/>
      <c r="G1855" s="16"/>
      <c r="H1855" s="16"/>
      <c r="I1855" s="16"/>
      <c r="J1855" s="16"/>
      <c r="K1855" s="16"/>
      <c r="L1855" s="16"/>
      <c r="M1855" s="16"/>
      <c r="N1855" s="16"/>
      <c r="O1855" s="16"/>
      <c r="P1855" s="16"/>
      <c r="Q1855" s="16"/>
      <c r="R1855" s="16"/>
      <c r="S1855" s="16"/>
      <c r="T1855" s="16"/>
      <c r="U1855" s="16"/>
      <c r="V1855" s="16"/>
      <c r="W1855" s="16"/>
      <c r="X1855" s="16"/>
      <c r="Y1855" s="16"/>
      <c r="Z1855" s="16"/>
      <c r="AA1855" s="16"/>
      <c r="AB1855" s="16"/>
    </row>
    <row r="1856" spans="3:28" ht="12.75">
      <c r="C1856" s="16"/>
      <c r="D1856" s="16"/>
      <c r="E1856" s="16"/>
      <c r="F1856" s="16"/>
      <c r="G1856" s="16"/>
      <c r="H1856" s="16"/>
      <c r="I1856" s="16"/>
      <c r="J1856" s="16"/>
      <c r="K1856" s="16"/>
      <c r="L1856" s="16"/>
      <c r="M1856" s="16"/>
      <c r="N1856" s="16"/>
      <c r="O1856" s="16"/>
      <c r="P1856" s="16"/>
      <c r="Q1856" s="16"/>
      <c r="R1856" s="16"/>
      <c r="S1856" s="16"/>
      <c r="T1856" s="16"/>
      <c r="U1856" s="16"/>
      <c r="V1856" s="16"/>
      <c r="W1856" s="16"/>
      <c r="X1856" s="16"/>
      <c r="Y1856" s="16"/>
      <c r="Z1856" s="16"/>
      <c r="AA1856" s="16"/>
      <c r="AB1856" s="16"/>
    </row>
    <row r="1857" spans="3:28" ht="12.75">
      <c r="C1857" s="16"/>
      <c r="D1857" s="16"/>
      <c r="E1857" s="16"/>
      <c r="F1857" s="16"/>
      <c r="G1857" s="16"/>
      <c r="H1857" s="16"/>
      <c r="I1857" s="16"/>
      <c r="J1857" s="16"/>
      <c r="K1857" s="16"/>
      <c r="L1857" s="16"/>
      <c r="M1857" s="16"/>
      <c r="N1857" s="16"/>
      <c r="O1857" s="16"/>
      <c r="P1857" s="16"/>
      <c r="Q1857" s="16"/>
      <c r="R1857" s="16"/>
      <c r="S1857" s="16"/>
      <c r="T1857" s="16"/>
      <c r="U1857" s="16"/>
      <c r="V1857" s="16"/>
      <c r="W1857" s="16"/>
      <c r="X1857" s="16"/>
      <c r="Y1857" s="16"/>
      <c r="Z1857" s="16"/>
      <c r="AA1857" s="16"/>
      <c r="AB1857" s="16"/>
    </row>
    <row r="1858" spans="3:28" ht="12.75">
      <c r="C1858" s="16"/>
      <c r="D1858" s="16"/>
      <c r="E1858" s="16"/>
      <c r="F1858" s="16"/>
      <c r="G1858" s="16"/>
      <c r="H1858" s="16"/>
      <c r="I1858" s="16"/>
      <c r="J1858" s="16"/>
      <c r="K1858" s="16"/>
      <c r="L1858" s="16"/>
      <c r="M1858" s="16"/>
      <c r="N1858" s="16"/>
      <c r="O1858" s="16"/>
      <c r="P1858" s="16"/>
      <c r="Q1858" s="16"/>
      <c r="R1858" s="16"/>
      <c r="S1858" s="16"/>
      <c r="T1858" s="16"/>
      <c r="U1858" s="16"/>
      <c r="V1858" s="16"/>
      <c r="W1858" s="16"/>
      <c r="X1858" s="16"/>
      <c r="Y1858" s="16"/>
      <c r="Z1858" s="16"/>
      <c r="AA1858" s="16"/>
      <c r="AB1858" s="16"/>
    </row>
    <row r="1859" spans="3:28" ht="12.75">
      <c r="C1859" s="16"/>
      <c r="D1859" s="16"/>
      <c r="E1859" s="16"/>
      <c r="F1859" s="16"/>
      <c r="G1859" s="16"/>
      <c r="H1859" s="16"/>
      <c r="I1859" s="16"/>
      <c r="J1859" s="16"/>
      <c r="K1859" s="16"/>
      <c r="L1859" s="16"/>
      <c r="M1859" s="16"/>
      <c r="N1859" s="16"/>
      <c r="O1859" s="16"/>
      <c r="P1859" s="16"/>
      <c r="Q1859" s="16"/>
      <c r="R1859" s="16"/>
      <c r="S1859" s="16"/>
      <c r="T1859" s="16"/>
      <c r="U1859" s="16"/>
      <c r="V1859" s="16"/>
      <c r="W1859" s="16"/>
      <c r="X1859" s="16"/>
      <c r="Y1859" s="16"/>
      <c r="Z1859" s="16"/>
      <c r="AA1859" s="16"/>
      <c r="AB1859" s="16"/>
    </row>
    <row r="1860" spans="3:28" ht="12.75">
      <c r="C1860" s="16"/>
      <c r="D1860" s="16"/>
      <c r="E1860" s="16"/>
      <c r="F1860" s="16"/>
      <c r="G1860" s="16"/>
      <c r="H1860" s="16"/>
      <c r="I1860" s="16"/>
      <c r="J1860" s="16"/>
      <c r="K1860" s="16"/>
      <c r="L1860" s="16"/>
      <c r="M1860" s="16"/>
      <c r="N1860" s="16"/>
      <c r="O1860" s="16"/>
      <c r="P1860" s="16"/>
      <c r="Q1860" s="16"/>
      <c r="R1860" s="16"/>
      <c r="S1860" s="16"/>
      <c r="T1860" s="16"/>
      <c r="U1860" s="16"/>
      <c r="V1860" s="16"/>
      <c r="W1860" s="16"/>
      <c r="X1860" s="16"/>
      <c r="Y1860" s="16"/>
      <c r="Z1860" s="16"/>
      <c r="AA1860" s="16"/>
      <c r="AB1860" s="16"/>
    </row>
    <row r="1861" spans="3:28" ht="12.75">
      <c r="C1861" s="16"/>
      <c r="D1861" s="16"/>
      <c r="E1861" s="16"/>
      <c r="F1861" s="16"/>
      <c r="G1861" s="16"/>
      <c r="H1861" s="16"/>
      <c r="I1861" s="16"/>
      <c r="J1861" s="16"/>
      <c r="K1861" s="16"/>
      <c r="L1861" s="16"/>
      <c r="M1861" s="16"/>
      <c r="N1861" s="16"/>
      <c r="O1861" s="16"/>
      <c r="P1861" s="16"/>
      <c r="Q1861" s="16"/>
      <c r="R1861" s="16"/>
      <c r="S1861" s="16"/>
      <c r="T1861" s="16"/>
      <c r="U1861" s="16"/>
      <c r="V1861" s="16"/>
      <c r="W1861" s="16"/>
      <c r="X1861" s="16"/>
      <c r="Y1861" s="16"/>
      <c r="Z1861" s="16"/>
      <c r="AA1861" s="16"/>
      <c r="AB1861" s="16"/>
    </row>
    <row r="1862" spans="3:28" ht="12.75">
      <c r="C1862" s="16"/>
      <c r="D1862" s="16"/>
      <c r="E1862" s="16"/>
      <c r="F1862" s="16"/>
      <c r="G1862" s="16"/>
      <c r="H1862" s="16"/>
      <c r="I1862" s="16"/>
      <c r="J1862" s="16"/>
      <c r="K1862" s="16"/>
      <c r="L1862" s="16"/>
      <c r="M1862" s="16"/>
      <c r="N1862" s="16"/>
      <c r="O1862" s="16"/>
      <c r="P1862" s="16"/>
      <c r="Q1862" s="16"/>
      <c r="R1862" s="16"/>
      <c r="S1862" s="16"/>
      <c r="T1862" s="16"/>
      <c r="U1862" s="16"/>
      <c r="V1862" s="16"/>
      <c r="W1862" s="16"/>
      <c r="X1862" s="16"/>
      <c r="Y1862" s="16"/>
      <c r="Z1862" s="16"/>
      <c r="AA1862" s="16"/>
      <c r="AB1862" s="16"/>
    </row>
    <row r="1863" spans="3:28" ht="12.75">
      <c r="C1863" s="16"/>
      <c r="D1863" s="16"/>
      <c r="E1863" s="16"/>
      <c r="F1863" s="16"/>
      <c r="G1863" s="16"/>
      <c r="H1863" s="16"/>
      <c r="I1863" s="16"/>
      <c r="J1863" s="16"/>
      <c r="K1863" s="16"/>
      <c r="L1863" s="16"/>
      <c r="M1863" s="16"/>
      <c r="N1863" s="16"/>
      <c r="O1863" s="16"/>
      <c r="P1863" s="16"/>
      <c r="Q1863" s="16"/>
      <c r="R1863" s="16"/>
      <c r="S1863" s="16"/>
      <c r="T1863" s="16"/>
      <c r="U1863" s="16"/>
      <c r="V1863" s="16"/>
      <c r="W1863" s="16"/>
      <c r="X1863" s="16"/>
      <c r="Y1863" s="16"/>
      <c r="Z1863" s="16"/>
      <c r="AA1863" s="16"/>
      <c r="AB1863" s="16"/>
    </row>
    <row r="1864" spans="3:28" ht="12.75">
      <c r="C1864" s="16"/>
      <c r="D1864" s="16"/>
      <c r="E1864" s="16"/>
      <c r="F1864" s="16"/>
      <c r="G1864" s="16"/>
      <c r="H1864" s="16"/>
      <c r="I1864" s="16"/>
      <c r="J1864" s="16"/>
      <c r="K1864" s="16"/>
      <c r="L1864" s="16"/>
      <c r="M1864" s="16"/>
      <c r="N1864" s="16"/>
      <c r="O1864" s="16"/>
      <c r="P1864" s="16"/>
      <c r="Q1864" s="16"/>
      <c r="R1864" s="16"/>
      <c r="S1864" s="16"/>
      <c r="T1864" s="16"/>
      <c r="U1864" s="16"/>
      <c r="V1864" s="16"/>
      <c r="W1864" s="16"/>
      <c r="X1864" s="16"/>
      <c r="Y1864" s="16"/>
      <c r="Z1864" s="16"/>
      <c r="AA1864" s="16"/>
      <c r="AB1864" s="16"/>
    </row>
    <row r="1865" spans="3:28" ht="12.75">
      <c r="C1865" s="16"/>
      <c r="D1865" s="16"/>
      <c r="E1865" s="16"/>
      <c r="F1865" s="16"/>
      <c r="G1865" s="16"/>
      <c r="H1865" s="16"/>
      <c r="I1865" s="16"/>
      <c r="J1865" s="16"/>
      <c r="K1865" s="16"/>
      <c r="L1865" s="16"/>
      <c r="M1865" s="16"/>
      <c r="N1865" s="16"/>
      <c r="O1865" s="16"/>
      <c r="P1865" s="16"/>
      <c r="Q1865" s="16"/>
      <c r="R1865" s="16"/>
      <c r="S1865" s="16"/>
      <c r="T1865" s="16"/>
      <c r="U1865" s="16"/>
      <c r="V1865" s="16"/>
      <c r="W1865" s="16"/>
      <c r="X1865" s="16"/>
      <c r="Y1865" s="16"/>
      <c r="Z1865" s="16"/>
      <c r="AA1865" s="16"/>
      <c r="AB1865" s="16"/>
    </row>
    <row r="1866" spans="3:28" ht="12.75">
      <c r="C1866" s="16"/>
      <c r="D1866" s="16"/>
      <c r="E1866" s="16"/>
      <c r="F1866" s="16"/>
      <c r="G1866" s="16"/>
      <c r="H1866" s="16"/>
      <c r="I1866" s="16"/>
      <c r="J1866" s="16"/>
      <c r="K1866" s="16"/>
      <c r="L1866" s="16"/>
      <c r="M1866" s="16"/>
      <c r="N1866" s="16"/>
      <c r="O1866" s="16"/>
      <c r="P1866" s="16"/>
      <c r="Q1866" s="16"/>
      <c r="R1866" s="16"/>
      <c r="S1866" s="16"/>
      <c r="T1866" s="16"/>
      <c r="U1866" s="16"/>
      <c r="V1866" s="16"/>
      <c r="W1866" s="16"/>
      <c r="X1866" s="16"/>
      <c r="Y1866" s="16"/>
      <c r="Z1866" s="16"/>
      <c r="AA1866" s="16"/>
      <c r="AB1866" s="16"/>
    </row>
    <row r="1867" spans="3:28" ht="12.75">
      <c r="C1867" s="16"/>
      <c r="D1867" s="16"/>
      <c r="E1867" s="16"/>
      <c r="F1867" s="16"/>
      <c r="G1867" s="16"/>
      <c r="H1867" s="16"/>
      <c r="I1867" s="16"/>
      <c r="J1867" s="16"/>
      <c r="K1867" s="16"/>
      <c r="L1867" s="16"/>
      <c r="M1867" s="16"/>
      <c r="N1867" s="16"/>
      <c r="O1867" s="16"/>
      <c r="P1867" s="16"/>
      <c r="Q1867" s="16"/>
      <c r="R1867" s="16"/>
      <c r="S1867" s="16"/>
      <c r="T1867" s="16"/>
      <c r="U1867" s="16"/>
      <c r="V1867" s="16"/>
      <c r="W1867" s="16"/>
      <c r="X1867" s="16"/>
      <c r="Y1867" s="16"/>
      <c r="Z1867" s="16"/>
      <c r="AA1867" s="16"/>
      <c r="AB1867" s="16"/>
    </row>
    <row r="1868" spans="3:28" ht="12.75">
      <c r="C1868" s="16"/>
      <c r="D1868" s="16"/>
      <c r="E1868" s="16"/>
      <c r="F1868" s="16"/>
      <c r="G1868" s="16"/>
      <c r="H1868" s="16"/>
      <c r="I1868" s="16"/>
      <c r="J1868" s="16"/>
      <c r="K1868" s="16"/>
      <c r="L1868" s="16"/>
      <c r="M1868" s="16"/>
      <c r="N1868" s="16"/>
      <c r="O1868" s="16"/>
      <c r="P1868" s="16"/>
      <c r="Q1868" s="16"/>
      <c r="R1868" s="16"/>
      <c r="S1868" s="16"/>
      <c r="T1868" s="16"/>
      <c r="U1868" s="16"/>
      <c r="V1868" s="16"/>
      <c r="W1868" s="16"/>
      <c r="X1868" s="16"/>
      <c r="Y1868" s="16"/>
      <c r="Z1868" s="16"/>
      <c r="AA1868" s="16"/>
      <c r="AB1868" s="16"/>
    </row>
    <row r="1869" spans="3:28" ht="12.75">
      <c r="C1869" s="16"/>
      <c r="D1869" s="16"/>
      <c r="E1869" s="16"/>
      <c r="F1869" s="16"/>
      <c r="G1869" s="16"/>
      <c r="H1869" s="16"/>
      <c r="I1869" s="16"/>
      <c r="J1869" s="16"/>
      <c r="K1869" s="16"/>
      <c r="L1869" s="16"/>
      <c r="M1869" s="16"/>
      <c r="N1869" s="16"/>
      <c r="O1869" s="16"/>
      <c r="P1869" s="16"/>
      <c r="Q1869" s="16"/>
      <c r="R1869" s="16"/>
      <c r="S1869" s="16"/>
      <c r="T1869" s="16"/>
      <c r="U1869" s="16"/>
      <c r="V1869" s="16"/>
      <c r="W1869" s="16"/>
      <c r="X1869" s="16"/>
      <c r="Y1869" s="16"/>
      <c r="Z1869" s="16"/>
      <c r="AA1869" s="16"/>
      <c r="AB1869" s="16"/>
    </row>
    <row r="1870" spans="3:28" ht="12.75">
      <c r="C1870" s="16"/>
      <c r="D1870" s="16"/>
      <c r="E1870" s="16"/>
      <c r="F1870" s="16"/>
      <c r="G1870" s="16"/>
      <c r="H1870" s="16"/>
      <c r="I1870" s="16"/>
      <c r="J1870" s="16"/>
      <c r="K1870" s="16"/>
      <c r="L1870" s="16"/>
      <c r="M1870" s="16"/>
      <c r="N1870" s="16"/>
      <c r="O1870" s="16"/>
      <c r="P1870" s="16"/>
      <c r="Q1870" s="16"/>
      <c r="R1870" s="16"/>
      <c r="S1870" s="16"/>
      <c r="T1870" s="16"/>
      <c r="U1870" s="16"/>
      <c r="V1870" s="16"/>
      <c r="W1870" s="16"/>
      <c r="X1870" s="16"/>
      <c r="Y1870" s="16"/>
      <c r="Z1870" s="16"/>
      <c r="AA1870" s="16"/>
      <c r="AB1870" s="16"/>
    </row>
    <row r="1871" spans="3:28" ht="12.75">
      <c r="C1871" s="16"/>
      <c r="D1871" s="16"/>
      <c r="E1871" s="16"/>
      <c r="F1871" s="16"/>
      <c r="G1871" s="16"/>
      <c r="H1871" s="16"/>
      <c r="I1871" s="16"/>
      <c r="J1871" s="16"/>
      <c r="K1871" s="16"/>
      <c r="L1871" s="16"/>
      <c r="M1871" s="16"/>
      <c r="N1871" s="16"/>
      <c r="O1871" s="16"/>
      <c r="P1871" s="16"/>
      <c r="Q1871" s="16"/>
      <c r="R1871" s="16"/>
      <c r="S1871" s="16"/>
      <c r="T1871" s="16"/>
      <c r="U1871" s="16"/>
      <c r="V1871" s="16"/>
      <c r="W1871" s="16"/>
      <c r="X1871" s="16"/>
      <c r="Y1871" s="16"/>
      <c r="Z1871" s="16"/>
      <c r="AA1871" s="16"/>
      <c r="AB1871" s="16"/>
    </row>
    <row r="1872" spans="3:28" ht="12.75">
      <c r="C1872" s="16"/>
      <c r="D1872" s="16"/>
      <c r="E1872" s="16"/>
      <c r="F1872" s="16"/>
      <c r="G1872" s="16"/>
      <c r="H1872" s="16"/>
      <c r="I1872" s="16"/>
      <c r="J1872" s="16"/>
      <c r="K1872" s="16"/>
      <c r="L1872" s="16"/>
      <c r="M1872" s="16"/>
      <c r="N1872" s="16"/>
      <c r="O1872" s="16"/>
      <c r="P1872" s="16"/>
      <c r="Q1872" s="16"/>
      <c r="R1872" s="16"/>
      <c r="S1872" s="16"/>
      <c r="T1872" s="16"/>
      <c r="U1872" s="16"/>
      <c r="V1872" s="16"/>
      <c r="W1872" s="16"/>
      <c r="X1872" s="16"/>
      <c r="Y1872" s="16"/>
      <c r="Z1872" s="16"/>
      <c r="AA1872" s="16"/>
      <c r="AB1872" s="16"/>
    </row>
    <row r="1873" spans="3:28" ht="12.75">
      <c r="C1873" s="16"/>
      <c r="D1873" s="16"/>
      <c r="E1873" s="16"/>
      <c r="F1873" s="16"/>
      <c r="G1873" s="16"/>
      <c r="H1873" s="16"/>
      <c r="I1873" s="16"/>
      <c r="J1873" s="16"/>
      <c r="K1873" s="16"/>
      <c r="L1873" s="16"/>
      <c r="M1873" s="16"/>
      <c r="N1873" s="16"/>
      <c r="O1873" s="16"/>
      <c r="P1873" s="16"/>
      <c r="Q1873" s="16"/>
      <c r="R1873" s="16"/>
      <c r="S1873" s="16"/>
      <c r="T1873" s="16"/>
      <c r="U1873" s="16"/>
      <c r="V1873" s="16"/>
      <c r="W1873" s="16"/>
      <c r="X1873" s="16"/>
      <c r="Y1873" s="16"/>
      <c r="Z1873" s="16"/>
      <c r="AA1873" s="16"/>
      <c r="AB1873" s="16"/>
    </row>
    <row r="1874" spans="3:28" ht="12.75">
      <c r="C1874" s="16"/>
      <c r="D1874" s="16"/>
      <c r="E1874" s="16"/>
      <c r="F1874" s="16"/>
      <c r="G1874" s="16"/>
      <c r="H1874" s="16"/>
      <c r="I1874" s="16"/>
      <c r="J1874" s="16"/>
      <c r="K1874" s="16"/>
      <c r="L1874" s="16"/>
      <c r="M1874" s="16"/>
      <c r="N1874" s="16"/>
      <c r="O1874" s="16"/>
      <c r="P1874" s="16"/>
      <c r="Q1874" s="16"/>
      <c r="R1874" s="16"/>
      <c r="S1874" s="16"/>
      <c r="T1874" s="16"/>
      <c r="U1874" s="16"/>
      <c r="V1874" s="16"/>
      <c r="W1874" s="16"/>
      <c r="X1874" s="16"/>
      <c r="Y1874" s="16"/>
      <c r="Z1874" s="16"/>
      <c r="AA1874" s="16"/>
      <c r="AB1874" s="16"/>
    </row>
    <row r="1875" spans="3:28" ht="12.75">
      <c r="C1875" s="16"/>
      <c r="D1875" s="16"/>
      <c r="E1875" s="16"/>
      <c r="F1875" s="16"/>
      <c r="G1875" s="16"/>
      <c r="H1875" s="16"/>
      <c r="I1875" s="16"/>
      <c r="J1875" s="16"/>
      <c r="K1875" s="16"/>
      <c r="L1875" s="16"/>
      <c r="M1875" s="16"/>
      <c r="N1875" s="16"/>
      <c r="O1875" s="16"/>
      <c r="P1875" s="16"/>
      <c r="Q1875" s="16"/>
      <c r="R1875" s="16"/>
      <c r="S1875" s="16"/>
      <c r="T1875" s="16"/>
      <c r="U1875" s="16"/>
      <c r="V1875" s="16"/>
      <c r="W1875" s="16"/>
      <c r="X1875" s="16"/>
      <c r="Y1875" s="16"/>
      <c r="Z1875" s="16"/>
      <c r="AA1875" s="16"/>
      <c r="AB1875" s="16"/>
    </row>
    <row r="1876" spans="3:28" ht="12.75">
      <c r="C1876" s="16"/>
      <c r="D1876" s="16"/>
      <c r="E1876" s="16"/>
      <c r="F1876" s="16"/>
      <c r="G1876" s="16"/>
      <c r="H1876" s="16"/>
      <c r="I1876" s="16"/>
      <c r="J1876" s="16"/>
      <c r="K1876" s="16"/>
      <c r="L1876" s="16"/>
      <c r="M1876" s="16"/>
      <c r="N1876" s="16"/>
      <c r="O1876" s="16"/>
      <c r="P1876" s="16"/>
      <c r="Q1876" s="16"/>
      <c r="R1876" s="16"/>
      <c r="S1876" s="16"/>
      <c r="T1876" s="16"/>
      <c r="U1876" s="16"/>
      <c r="V1876" s="16"/>
      <c r="W1876" s="16"/>
      <c r="X1876" s="16"/>
      <c r="Y1876" s="16"/>
      <c r="Z1876" s="16"/>
      <c r="AA1876" s="16"/>
      <c r="AB1876" s="16"/>
    </row>
    <row r="1877" spans="3:28" ht="12.75">
      <c r="C1877" s="16"/>
      <c r="D1877" s="16"/>
      <c r="E1877" s="16"/>
      <c r="F1877" s="16"/>
      <c r="G1877" s="16"/>
      <c r="H1877" s="16"/>
      <c r="I1877" s="16"/>
      <c r="J1877" s="16"/>
      <c r="K1877" s="16"/>
      <c r="L1877" s="16"/>
      <c r="M1877" s="16"/>
      <c r="N1877" s="16"/>
      <c r="O1877" s="16"/>
      <c r="P1877" s="16"/>
      <c r="Q1877" s="16"/>
      <c r="R1877" s="16"/>
      <c r="S1877" s="16"/>
      <c r="T1877" s="16"/>
      <c r="U1877" s="16"/>
      <c r="V1877" s="16"/>
      <c r="W1877" s="16"/>
      <c r="X1877" s="16"/>
      <c r="Y1877" s="16"/>
      <c r="Z1877" s="16"/>
      <c r="AA1877" s="16"/>
      <c r="AB1877" s="16"/>
    </row>
    <row r="1878" spans="3:28" ht="12.75">
      <c r="C1878" s="16"/>
      <c r="D1878" s="16"/>
      <c r="E1878" s="16"/>
      <c r="F1878" s="16"/>
      <c r="G1878" s="16"/>
      <c r="H1878" s="16"/>
      <c r="I1878" s="16"/>
      <c r="J1878" s="16"/>
      <c r="K1878" s="16"/>
      <c r="L1878" s="16"/>
      <c r="M1878" s="16"/>
      <c r="N1878" s="16"/>
      <c r="O1878" s="16"/>
      <c r="P1878" s="16"/>
      <c r="Q1878" s="16"/>
      <c r="R1878" s="16"/>
      <c r="S1878" s="16"/>
      <c r="T1878" s="16"/>
      <c r="U1878" s="16"/>
      <c r="V1878" s="16"/>
      <c r="W1878" s="16"/>
      <c r="X1878" s="16"/>
      <c r="Y1878" s="16"/>
      <c r="Z1878" s="16"/>
      <c r="AA1878" s="16"/>
      <c r="AB1878" s="16"/>
    </row>
    <row r="1879" spans="3:28" ht="12.75">
      <c r="C1879" s="16"/>
      <c r="D1879" s="16"/>
      <c r="E1879" s="16"/>
      <c r="F1879" s="16"/>
      <c r="G1879" s="16"/>
      <c r="H1879" s="16"/>
      <c r="I1879" s="16"/>
      <c r="J1879" s="16"/>
      <c r="K1879" s="16"/>
      <c r="L1879" s="16"/>
      <c r="M1879" s="16"/>
      <c r="N1879" s="16"/>
      <c r="O1879" s="16"/>
      <c r="P1879" s="16"/>
      <c r="Q1879" s="16"/>
      <c r="R1879" s="16"/>
      <c r="S1879" s="16"/>
      <c r="T1879" s="16"/>
      <c r="U1879" s="16"/>
      <c r="V1879" s="16"/>
      <c r="W1879" s="16"/>
      <c r="X1879" s="16"/>
      <c r="Y1879" s="16"/>
      <c r="Z1879" s="16"/>
      <c r="AA1879" s="16"/>
      <c r="AB1879" s="16"/>
    </row>
    <row r="1880" spans="3:28" ht="12.75">
      <c r="C1880" s="16"/>
      <c r="D1880" s="16"/>
      <c r="E1880" s="16"/>
      <c r="F1880" s="16"/>
      <c r="G1880" s="16"/>
      <c r="H1880" s="16"/>
      <c r="I1880" s="16"/>
      <c r="J1880" s="16"/>
      <c r="K1880" s="16"/>
      <c r="L1880" s="16"/>
      <c r="M1880" s="16"/>
      <c r="N1880" s="16"/>
      <c r="O1880" s="16"/>
      <c r="P1880" s="16"/>
      <c r="Q1880" s="16"/>
      <c r="R1880" s="16"/>
      <c r="S1880" s="16"/>
      <c r="T1880" s="16"/>
      <c r="U1880" s="16"/>
      <c r="V1880" s="16"/>
      <c r="W1880" s="16"/>
      <c r="X1880" s="16"/>
      <c r="Y1880" s="16"/>
      <c r="Z1880" s="16"/>
      <c r="AA1880" s="16"/>
      <c r="AB1880" s="16"/>
    </row>
    <row r="1881" spans="3:28" ht="12.75">
      <c r="C1881" s="16"/>
      <c r="D1881" s="16"/>
      <c r="E1881" s="16"/>
      <c r="F1881" s="16"/>
      <c r="G1881" s="16"/>
      <c r="H1881" s="16"/>
      <c r="I1881" s="16"/>
      <c r="J1881" s="16"/>
      <c r="K1881" s="16"/>
      <c r="L1881" s="16"/>
      <c r="M1881" s="16"/>
      <c r="N1881" s="16"/>
      <c r="O1881" s="16"/>
      <c r="P1881" s="16"/>
      <c r="Q1881" s="16"/>
      <c r="R1881" s="16"/>
      <c r="S1881" s="16"/>
      <c r="T1881" s="16"/>
      <c r="U1881" s="16"/>
      <c r="V1881" s="16"/>
      <c r="W1881" s="16"/>
      <c r="X1881" s="16"/>
      <c r="Y1881" s="16"/>
      <c r="Z1881" s="16"/>
      <c r="AA1881" s="16"/>
      <c r="AB1881" s="16"/>
    </row>
    <row r="1882" spans="3:28" ht="12.75">
      <c r="C1882" s="16"/>
      <c r="D1882" s="16"/>
      <c r="E1882" s="16"/>
      <c r="F1882" s="16"/>
      <c r="G1882" s="16"/>
      <c r="H1882" s="16"/>
      <c r="I1882" s="16"/>
      <c r="J1882" s="16"/>
      <c r="K1882" s="16"/>
      <c r="L1882" s="16"/>
      <c r="M1882" s="16"/>
      <c r="N1882" s="16"/>
      <c r="O1882" s="16"/>
      <c r="P1882" s="16"/>
      <c r="Q1882" s="16"/>
      <c r="R1882" s="16"/>
      <c r="S1882" s="16"/>
      <c r="T1882" s="16"/>
      <c r="U1882" s="16"/>
      <c r="V1882" s="16"/>
      <c r="W1882" s="16"/>
      <c r="X1882" s="16"/>
      <c r="Y1882" s="16"/>
      <c r="Z1882" s="16"/>
      <c r="AA1882" s="16"/>
      <c r="AB1882" s="16"/>
    </row>
    <row r="1883" spans="3:28" ht="12.75">
      <c r="C1883" s="16"/>
      <c r="D1883" s="16"/>
      <c r="E1883" s="16"/>
      <c r="F1883" s="16"/>
      <c r="G1883" s="16"/>
      <c r="H1883" s="16"/>
      <c r="I1883" s="16"/>
      <c r="J1883" s="16"/>
      <c r="K1883" s="16"/>
      <c r="L1883" s="16"/>
      <c r="M1883" s="16"/>
      <c r="N1883" s="16"/>
      <c r="O1883" s="16"/>
      <c r="P1883" s="16"/>
      <c r="Q1883" s="16"/>
      <c r="R1883" s="16"/>
      <c r="S1883" s="16"/>
      <c r="T1883" s="16"/>
      <c r="U1883" s="16"/>
      <c r="V1883" s="16"/>
      <c r="W1883" s="16"/>
      <c r="X1883" s="16"/>
      <c r="Y1883" s="16"/>
      <c r="Z1883" s="16"/>
      <c r="AA1883" s="16"/>
      <c r="AB1883" s="16"/>
    </row>
    <row r="1884" spans="3:28" ht="12.75">
      <c r="C1884" s="16"/>
      <c r="D1884" s="16"/>
      <c r="E1884" s="16"/>
      <c r="F1884" s="16"/>
      <c r="G1884" s="16"/>
      <c r="H1884" s="16"/>
      <c r="I1884" s="16"/>
      <c r="J1884" s="16"/>
      <c r="K1884" s="16"/>
      <c r="L1884" s="16"/>
      <c r="M1884" s="16"/>
      <c r="N1884" s="16"/>
      <c r="O1884" s="16"/>
      <c r="P1884" s="16"/>
      <c r="Q1884" s="16"/>
      <c r="R1884" s="16"/>
      <c r="S1884" s="16"/>
      <c r="T1884" s="16"/>
      <c r="U1884" s="16"/>
      <c r="V1884" s="16"/>
      <c r="W1884" s="16"/>
      <c r="X1884" s="16"/>
      <c r="Y1884" s="16"/>
      <c r="Z1884" s="16"/>
      <c r="AA1884" s="16"/>
      <c r="AB1884" s="16"/>
    </row>
    <row r="1885" spans="3:28" ht="12.75">
      <c r="C1885" s="16"/>
      <c r="D1885" s="16"/>
      <c r="E1885" s="16"/>
      <c r="F1885" s="16"/>
      <c r="G1885" s="16"/>
      <c r="H1885" s="16"/>
      <c r="I1885" s="16"/>
      <c r="J1885" s="16"/>
      <c r="K1885" s="16"/>
      <c r="L1885" s="16"/>
      <c r="M1885" s="16"/>
      <c r="N1885" s="16"/>
      <c r="O1885" s="16"/>
      <c r="P1885" s="16"/>
      <c r="Q1885" s="16"/>
      <c r="R1885" s="16"/>
      <c r="S1885" s="16"/>
      <c r="T1885" s="16"/>
      <c r="U1885" s="16"/>
      <c r="V1885" s="16"/>
      <c r="W1885" s="16"/>
      <c r="X1885" s="16"/>
      <c r="Y1885" s="16"/>
      <c r="Z1885" s="16"/>
      <c r="AA1885" s="16"/>
      <c r="AB1885" s="16"/>
    </row>
    <row r="1886" spans="3:28" ht="12.75">
      <c r="C1886" s="16"/>
      <c r="D1886" s="16"/>
      <c r="E1886" s="16"/>
      <c r="F1886" s="16"/>
      <c r="G1886" s="16"/>
      <c r="H1886" s="16"/>
      <c r="I1886" s="16"/>
      <c r="J1886" s="16"/>
      <c r="K1886" s="16"/>
      <c r="L1886" s="16"/>
      <c r="M1886" s="16"/>
      <c r="N1886" s="16"/>
      <c r="O1886" s="16"/>
      <c r="P1886" s="16"/>
      <c r="Q1886" s="16"/>
      <c r="R1886" s="16"/>
      <c r="S1886" s="16"/>
      <c r="T1886" s="16"/>
      <c r="U1886" s="16"/>
      <c r="V1886" s="16"/>
      <c r="W1886" s="16"/>
      <c r="X1886" s="16"/>
      <c r="Y1886" s="16"/>
      <c r="Z1886" s="16"/>
      <c r="AA1886" s="16"/>
      <c r="AB1886" s="16"/>
    </row>
    <row r="1887" spans="3:28" ht="12.75">
      <c r="C1887" s="16"/>
      <c r="D1887" s="16"/>
      <c r="E1887" s="16"/>
      <c r="F1887" s="16"/>
      <c r="G1887" s="16"/>
      <c r="H1887" s="16"/>
      <c r="I1887" s="16"/>
      <c r="J1887" s="16"/>
      <c r="K1887" s="16"/>
      <c r="L1887" s="16"/>
      <c r="M1887" s="16"/>
      <c r="N1887" s="16"/>
      <c r="O1887" s="16"/>
      <c r="P1887" s="16"/>
      <c r="Q1887" s="16"/>
      <c r="R1887" s="16"/>
      <c r="S1887" s="16"/>
      <c r="T1887" s="16"/>
      <c r="U1887" s="16"/>
      <c r="V1887" s="16"/>
      <c r="W1887" s="16"/>
      <c r="X1887" s="16"/>
      <c r="Y1887" s="16"/>
      <c r="Z1887" s="16"/>
      <c r="AA1887" s="16"/>
      <c r="AB1887" s="16"/>
    </row>
    <row r="1888" spans="3:28" ht="12.75">
      <c r="C1888" s="16"/>
      <c r="D1888" s="16"/>
      <c r="E1888" s="16"/>
      <c r="F1888" s="16"/>
      <c r="G1888" s="16"/>
      <c r="H1888" s="16"/>
      <c r="I1888" s="16"/>
      <c r="J1888" s="16"/>
      <c r="K1888" s="16"/>
      <c r="L1888" s="16"/>
      <c r="M1888" s="16"/>
      <c r="N1888" s="16"/>
      <c r="O1888" s="16"/>
      <c r="P1888" s="16"/>
      <c r="Q1888" s="16"/>
      <c r="R1888" s="16"/>
      <c r="S1888" s="16"/>
      <c r="T1888" s="16"/>
      <c r="U1888" s="16"/>
      <c r="V1888" s="16"/>
      <c r="W1888" s="16"/>
      <c r="X1888" s="16"/>
      <c r="Y1888" s="16"/>
      <c r="Z1888" s="16"/>
      <c r="AA1888" s="16"/>
      <c r="AB1888" s="16"/>
    </row>
    <row r="1889" spans="3:28" ht="12.75">
      <c r="C1889" s="16"/>
      <c r="D1889" s="16"/>
      <c r="E1889" s="16"/>
      <c r="F1889" s="16"/>
      <c r="G1889" s="16"/>
      <c r="H1889" s="16"/>
      <c r="I1889" s="16"/>
      <c r="J1889" s="16"/>
      <c r="K1889" s="16"/>
      <c r="L1889" s="16"/>
      <c r="M1889" s="16"/>
      <c r="N1889" s="16"/>
      <c r="O1889" s="16"/>
      <c r="P1889" s="16"/>
      <c r="Q1889" s="16"/>
      <c r="R1889" s="16"/>
      <c r="S1889" s="16"/>
      <c r="T1889" s="16"/>
      <c r="U1889" s="16"/>
      <c r="V1889" s="16"/>
      <c r="W1889" s="16"/>
      <c r="X1889" s="16"/>
      <c r="Y1889" s="16"/>
      <c r="Z1889" s="16"/>
      <c r="AA1889" s="16"/>
      <c r="AB1889" s="16"/>
    </row>
  </sheetData>
  <sheetProtection selectLockedCells="1"/>
  <mergeCells count="4">
    <mergeCell ref="B27:F27"/>
    <mergeCell ref="B47:F47"/>
    <mergeCell ref="B7:F7"/>
    <mergeCell ref="B58:F58"/>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2:I10"/>
  <sheetViews>
    <sheetView zoomScale="75" zoomScaleNormal="75" workbookViewId="0" topLeftCell="A1">
      <selection activeCell="H32" sqref="H32"/>
    </sheetView>
  </sheetViews>
  <sheetFormatPr defaultColWidth="9.140625" defaultRowHeight="12.75"/>
  <cols>
    <col min="1" max="1" width="17.57421875" style="0" customWidth="1"/>
    <col min="2" max="3" width="12.7109375" style="0" customWidth="1"/>
    <col min="5" max="6" width="12.7109375" style="0" customWidth="1"/>
    <col min="8" max="9" width="12.7109375" style="0" customWidth="1"/>
  </cols>
  <sheetData>
    <row r="2" spans="2:9" ht="12.75">
      <c r="B2" s="560" t="s">
        <v>472</v>
      </c>
      <c r="C2" s="560"/>
      <c r="D2" s="17"/>
      <c r="E2" s="560" t="s">
        <v>473</v>
      </c>
      <c r="F2" s="560"/>
      <c r="G2" s="17"/>
      <c r="H2" s="560" t="s">
        <v>474</v>
      </c>
      <c r="I2" s="560"/>
    </row>
    <row r="4" spans="2:9" ht="38.25">
      <c r="B4" s="20" t="s">
        <v>338</v>
      </c>
      <c r="C4" s="20" t="s">
        <v>339</v>
      </c>
      <c r="E4" s="20" t="s">
        <v>338</v>
      </c>
      <c r="F4" s="20" t="s">
        <v>339</v>
      </c>
      <c r="H4" s="20" t="s">
        <v>338</v>
      </c>
      <c r="I4" s="20" t="s">
        <v>339</v>
      </c>
    </row>
    <row r="5" spans="2:9" ht="12.75">
      <c r="B5" s="21"/>
      <c r="C5" s="21"/>
      <c r="E5" s="21"/>
      <c r="F5" s="21"/>
      <c r="H5" s="21"/>
      <c r="I5" s="21"/>
    </row>
    <row r="6" spans="1:9" ht="12.75">
      <c r="A6" s="22" t="s">
        <v>381</v>
      </c>
      <c r="B6" s="46">
        <v>0.2</v>
      </c>
      <c r="C6" s="47">
        <v>2010</v>
      </c>
      <c r="E6" s="46">
        <v>0.25</v>
      </c>
      <c r="F6" s="47">
        <v>2010</v>
      </c>
      <c r="H6" s="46">
        <v>0.5</v>
      </c>
      <c r="I6" s="47">
        <v>2010</v>
      </c>
    </row>
    <row r="7" spans="1:9" ht="12.75">
      <c r="A7" s="22" t="s">
        <v>400</v>
      </c>
      <c r="B7" s="46">
        <v>0.1</v>
      </c>
      <c r="C7" s="47">
        <v>2015</v>
      </c>
      <c r="E7" s="46">
        <v>0.15</v>
      </c>
      <c r="F7" s="47">
        <v>2015</v>
      </c>
      <c r="H7" s="46">
        <v>0.3</v>
      </c>
      <c r="I7" s="47">
        <v>2010</v>
      </c>
    </row>
    <row r="8" spans="1:9" ht="12.75">
      <c r="A8" s="22" t="s">
        <v>384</v>
      </c>
      <c r="B8" s="46">
        <v>0.15</v>
      </c>
      <c r="C8" s="47">
        <v>2015</v>
      </c>
      <c r="E8" s="46">
        <v>0.2</v>
      </c>
      <c r="F8" s="47">
        <v>2015</v>
      </c>
      <c r="H8" s="46">
        <v>0.4</v>
      </c>
      <c r="I8" s="47">
        <v>2015</v>
      </c>
    </row>
    <row r="9" spans="1:9" ht="12.75">
      <c r="A9" s="22" t="s">
        <v>475</v>
      </c>
      <c r="B9" s="46">
        <v>0.05</v>
      </c>
      <c r="C9" s="47">
        <v>2030</v>
      </c>
      <c r="E9" s="46">
        <v>0.075</v>
      </c>
      <c r="F9" s="47">
        <v>2020</v>
      </c>
      <c r="H9" s="46">
        <v>0.15</v>
      </c>
      <c r="I9" s="47">
        <v>2015</v>
      </c>
    </row>
    <row r="10" spans="1:9" ht="12.75">
      <c r="A10" s="22" t="s">
        <v>476</v>
      </c>
      <c r="B10" s="48">
        <v>0.05</v>
      </c>
      <c r="C10" s="49">
        <v>2030</v>
      </c>
      <c r="E10" s="48">
        <v>0.075</v>
      </c>
      <c r="F10" s="49">
        <v>2020</v>
      </c>
      <c r="H10" s="48">
        <v>0.15</v>
      </c>
      <c r="I10" s="49">
        <v>2015</v>
      </c>
    </row>
  </sheetData>
  <sheetProtection selectLockedCells="1"/>
  <mergeCells count="3">
    <mergeCell ref="B2:C2"/>
    <mergeCell ref="E2:F2"/>
    <mergeCell ref="H2:I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5"/>
  <dimension ref="A1:A1"/>
  <sheetViews>
    <sheetView workbookViewId="0" topLeftCell="A1">
      <selection activeCell="I32" sqref="I32"/>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pageSetUpPr fitToPage="1"/>
  </sheetPr>
  <dimension ref="A1:S81"/>
  <sheetViews>
    <sheetView showGridLines="0" tabSelected="1" zoomScale="70" zoomScaleNormal="70" workbookViewId="0" topLeftCell="A1">
      <selection activeCell="B42" sqref="B42"/>
    </sheetView>
  </sheetViews>
  <sheetFormatPr defaultColWidth="9.140625" defaultRowHeight="12.75"/>
  <cols>
    <col min="1" max="1" width="33.28125" style="273" customWidth="1"/>
    <col min="2" max="9" width="13.00390625" style="273" customWidth="1"/>
    <col min="10" max="10" width="12.421875" style="273" customWidth="1"/>
    <col min="11" max="11" width="11.8515625" style="273" customWidth="1"/>
    <col min="12" max="12" width="13.57421875" style="273" customWidth="1"/>
    <col min="13" max="13" width="9.28125" style="273" customWidth="1"/>
    <col min="14" max="14" width="14.7109375" style="277" customWidth="1"/>
    <col min="15" max="15" width="8.00390625" style="198" hidden="1" customWidth="1"/>
    <col min="16" max="16" width="5.140625" style="67" hidden="1" customWidth="1"/>
    <col min="17" max="17" width="5.8515625" style="67" hidden="1" customWidth="1"/>
    <col min="18" max="18" width="5.28125" style="67" hidden="1" customWidth="1"/>
    <col min="19" max="19" width="6.57421875" style="67" hidden="1" customWidth="1"/>
    <col min="20" max="16384" width="9.140625" style="67" customWidth="1"/>
  </cols>
  <sheetData>
    <row r="1" spans="1:16" ht="22.5" customHeight="1">
      <c r="A1" s="271" t="s">
        <v>326</v>
      </c>
      <c r="B1" s="272" t="s">
        <v>131</v>
      </c>
      <c r="D1" s="274">
        <f>IF(G19&lt;&gt;"","",IF(G20&lt;&gt;"","",IF(#REF!&lt;&gt;"","","Please select one method!")))</f>
      </c>
      <c r="G1" s="275" t="s">
        <v>488</v>
      </c>
      <c r="H1" s="276"/>
      <c r="M1" s="277"/>
      <c r="N1" s="278"/>
      <c r="O1" s="67"/>
      <c r="P1" s="195"/>
    </row>
    <row r="2" spans="1:16" ht="13.5" customHeight="1">
      <c r="A2" s="271" t="s">
        <v>330</v>
      </c>
      <c r="B2" s="279">
        <v>2002</v>
      </c>
      <c r="G2" s="280" t="s">
        <v>489</v>
      </c>
      <c r="H2" s="281"/>
      <c r="M2" s="282"/>
      <c r="N2" s="283"/>
      <c r="O2" s="67"/>
      <c r="P2" s="195"/>
    </row>
    <row r="3" spans="1:15" ht="12.75" customHeight="1">
      <c r="A3" s="284"/>
      <c r="D3" s="285"/>
      <c r="E3" s="284"/>
      <c r="G3" s="286" t="s">
        <v>490</v>
      </c>
      <c r="H3" s="287"/>
      <c r="M3" s="282"/>
      <c r="N3" s="282"/>
      <c r="O3" s="67"/>
    </row>
    <row r="4" spans="1:19" s="69" customFormat="1" ht="29.25" customHeight="1">
      <c r="A4" s="271" t="s">
        <v>334</v>
      </c>
      <c r="B4" s="565" t="s">
        <v>335</v>
      </c>
      <c r="C4" s="566"/>
      <c r="D4" s="573" t="s">
        <v>336</v>
      </c>
      <c r="E4" s="572"/>
      <c r="F4" s="573"/>
      <c r="G4" s="573"/>
      <c r="H4" s="565" t="s">
        <v>337</v>
      </c>
      <c r="I4" s="566"/>
      <c r="J4" s="571" t="s">
        <v>338</v>
      </c>
      <c r="K4" s="574" t="s">
        <v>339</v>
      </c>
      <c r="L4" s="571" t="s">
        <v>340</v>
      </c>
      <c r="M4" s="567" t="s">
        <v>341</v>
      </c>
      <c r="N4" s="568"/>
      <c r="O4" s="551" t="s">
        <v>5</v>
      </c>
      <c r="P4" s="553"/>
      <c r="Q4" s="554"/>
      <c r="R4" s="561" t="s">
        <v>290</v>
      </c>
      <c r="S4" s="562" t="s">
        <v>291</v>
      </c>
    </row>
    <row r="5" spans="1:19" s="69" customFormat="1" ht="15.75" customHeight="1">
      <c r="A5" s="271"/>
      <c r="B5" s="288" t="s">
        <v>342</v>
      </c>
      <c r="C5" s="288" t="s">
        <v>343</v>
      </c>
      <c r="D5" s="288" t="s">
        <v>68</v>
      </c>
      <c r="E5" s="288" t="s">
        <v>7</v>
      </c>
      <c r="F5" s="288" t="s">
        <v>8</v>
      </c>
      <c r="G5" s="288" t="s">
        <v>9</v>
      </c>
      <c r="H5" s="288" t="s">
        <v>342</v>
      </c>
      <c r="I5" s="288" t="s">
        <v>343</v>
      </c>
      <c r="J5" s="572"/>
      <c r="K5" s="575"/>
      <c r="L5" s="572"/>
      <c r="M5" s="569"/>
      <c r="N5" s="570"/>
      <c r="O5" s="193" t="s">
        <v>2</v>
      </c>
      <c r="P5" s="68" t="s">
        <v>4</v>
      </c>
      <c r="Q5" s="68" t="s">
        <v>3</v>
      </c>
      <c r="R5" s="561"/>
      <c r="S5" s="562"/>
    </row>
    <row r="6" spans="1:17" s="86" customFormat="1" ht="29.25" customHeight="1">
      <c r="A6" s="289" t="s">
        <v>344</v>
      </c>
      <c r="B6" s="487">
        <v>19245730</v>
      </c>
      <c r="C6" s="290"/>
      <c r="D6" s="291">
        <v>0.0119</v>
      </c>
      <c r="E6" s="291">
        <v>0.0108</v>
      </c>
      <c r="F6" s="291">
        <v>0.01</v>
      </c>
      <c r="G6" s="291">
        <v>0.0075</v>
      </c>
      <c r="H6" s="292"/>
      <c r="I6" s="292"/>
      <c r="J6" s="292"/>
      <c r="K6" s="292"/>
      <c r="L6" s="292"/>
      <c r="M6" s="293" t="s">
        <v>347</v>
      </c>
      <c r="N6" s="294" t="s">
        <v>348</v>
      </c>
      <c r="O6" s="96" t="s">
        <v>66</v>
      </c>
      <c r="P6" s="96" t="s">
        <v>66</v>
      </c>
      <c r="Q6" s="96" t="s">
        <v>66</v>
      </c>
    </row>
    <row r="7" spans="1:17" s="86" customFormat="1" ht="20.25" customHeight="1">
      <c r="A7" s="289" t="s">
        <v>349</v>
      </c>
      <c r="B7" s="295">
        <v>0.9</v>
      </c>
      <c r="C7" s="290"/>
      <c r="D7" s="296"/>
      <c r="E7" s="296"/>
      <c r="F7" s="296"/>
      <c r="G7" s="296"/>
      <c r="H7" s="292"/>
      <c r="I7" s="292"/>
      <c r="J7" s="292"/>
      <c r="K7" s="292"/>
      <c r="L7" s="292"/>
      <c r="M7" s="297">
        <v>1980</v>
      </c>
      <c r="N7" s="298"/>
      <c r="O7" s="96"/>
      <c r="P7" s="96"/>
      <c r="Q7" s="96"/>
    </row>
    <row r="8" spans="1:17" s="86" customFormat="1" ht="15.75" customHeight="1">
      <c r="A8" s="299"/>
      <c r="B8" s="300"/>
      <c r="C8" s="290"/>
      <c r="D8" s="296"/>
      <c r="E8" s="296"/>
      <c r="F8" s="296"/>
      <c r="G8" s="296"/>
      <c r="H8" s="292"/>
      <c r="I8" s="292"/>
      <c r="J8" s="292"/>
      <c r="K8" s="292"/>
      <c r="L8" s="292"/>
      <c r="M8" s="297">
        <f>1+M7</f>
        <v>1981</v>
      </c>
      <c r="N8" s="298"/>
      <c r="O8" s="96"/>
      <c r="P8" s="96"/>
      <c r="Q8" s="96"/>
    </row>
    <row r="9" spans="1:17" s="72" customFormat="1" ht="15.75" customHeight="1">
      <c r="A9" s="301" t="s">
        <v>352</v>
      </c>
      <c r="B9" s="302"/>
      <c r="C9" s="302"/>
      <c r="D9" s="303"/>
      <c r="E9" s="304">
        <f>IF(SUM(C10:C17)&gt;=B6,"Warning! PHR is greater than national population!","")</f>
      </c>
      <c r="F9" s="303"/>
      <c r="G9" s="303"/>
      <c r="H9" s="302"/>
      <c r="I9" s="302"/>
      <c r="J9" s="303"/>
      <c r="K9" s="303"/>
      <c r="L9" s="303"/>
      <c r="M9" s="297">
        <f>1+M8</f>
        <v>1982</v>
      </c>
      <c r="N9" s="298"/>
      <c r="O9" s="89"/>
      <c r="P9" s="89"/>
      <c r="Q9" s="89"/>
    </row>
    <row r="10" spans="1:19" ht="15.75" customHeight="1">
      <c r="A10" s="413" t="s">
        <v>381</v>
      </c>
      <c r="B10" s="477">
        <v>56482</v>
      </c>
      <c r="C10" s="478">
        <v>77022</v>
      </c>
      <c r="D10" s="479">
        <v>0.011899999999999999</v>
      </c>
      <c r="E10" s="415">
        <v>0.0108</v>
      </c>
      <c r="F10" s="414">
        <v>0.01</v>
      </c>
      <c r="G10" s="415">
        <v>0.0075</v>
      </c>
      <c r="H10" s="480">
        <v>0.07</v>
      </c>
      <c r="I10" s="481">
        <v>0.09</v>
      </c>
      <c r="J10" s="415">
        <v>0.09</v>
      </c>
      <c r="K10" s="416">
        <v>2005</v>
      </c>
      <c r="L10" s="417">
        <v>0.5</v>
      </c>
      <c r="M10" s="297">
        <f>1+M9</f>
        <v>1983</v>
      </c>
      <c r="N10" s="298"/>
      <c r="O10" s="87">
        <f aca="true" t="shared" si="0" ref="O10:O17">IF((H10)&gt;0,($J10-H10)/LN($K10-$B$2+1),"0")</f>
        <v>0.014426950408889628</v>
      </c>
      <c r="P10" s="87">
        <f aca="true" t="shared" si="1" ref="P10:P17">IF(H10&gt;0,($J10-((H10+I10)/2))/LN($K10-$B$2+1),"0")</f>
        <v>0.007213475204444814</v>
      </c>
      <c r="Q10" s="87">
        <f aca="true" t="shared" si="2" ref="Q10:Q17">IF((I10)&gt;0,($J10-I10)/LN($K10-$B$2+1),"0")</f>
        <v>0</v>
      </c>
      <c r="R10" s="408">
        <f>B10*L10</f>
        <v>28241</v>
      </c>
      <c r="S10" s="408">
        <f>C10*L10</f>
        <v>38511</v>
      </c>
    </row>
    <row r="11" spans="1:19" ht="15.75" customHeight="1">
      <c r="A11" s="418" t="s">
        <v>384</v>
      </c>
      <c r="B11" s="309">
        <v>184852</v>
      </c>
      <c r="C11" s="309">
        <v>277278</v>
      </c>
      <c r="D11" s="305">
        <v>0.011899999999999999</v>
      </c>
      <c r="E11" s="306">
        <v>0.0108</v>
      </c>
      <c r="F11" s="291">
        <v>0.01</v>
      </c>
      <c r="G11" s="306">
        <v>0.0075</v>
      </c>
      <c r="H11" s="307">
        <v>0.12</v>
      </c>
      <c r="I11" s="308">
        <v>0.14</v>
      </c>
      <c r="J11" s="306">
        <v>0.14</v>
      </c>
      <c r="K11" s="329">
        <v>2005</v>
      </c>
      <c r="L11" s="419">
        <v>0</v>
      </c>
      <c r="M11" s="297">
        <f aca="true" t="shared" si="3" ref="M11:M57">1+M10</f>
        <v>1984</v>
      </c>
      <c r="N11" s="298"/>
      <c r="O11" s="87">
        <f t="shared" si="0"/>
        <v>0.014426950408889647</v>
      </c>
      <c r="P11" s="87">
        <f t="shared" si="1"/>
        <v>0.0072134752044448235</v>
      </c>
      <c r="Q11" s="87">
        <f t="shared" si="2"/>
        <v>0</v>
      </c>
      <c r="R11" s="408">
        <f aca="true" t="shared" si="4" ref="R11:R17">B11*L11</f>
        <v>0</v>
      </c>
      <c r="S11" s="408">
        <f aca="true" t="shared" si="5" ref="S11:S17">C11*L11</f>
        <v>0</v>
      </c>
    </row>
    <row r="12" spans="1:19" ht="15.75" customHeight="1">
      <c r="A12" s="418" t="s">
        <v>400</v>
      </c>
      <c r="B12" s="309">
        <v>57703</v>
      </c>
      <c r="C12" s="309">
        <v>86606</v>
      </c>
      <c r="D12" s="305">
        <v>0.011899999999999999</v>
      </c>
      <c r="E12" s="306">
        <v>0.0108</v>
      </c>
      <c r="F12" s="291">
        <v>0.01</v>
      </c>
      <c r="G12" s="306">
        <v>0.0075</v>
      </c>
      <c r="H12" s="307">
        <v>0.08</v>
      </c>
      <c r="I12" s="308">
        <v>0.12</v>
      </c>
      <c r="J12" s="306">
        <v>0.12</v>
      </c>
      <c r="K12" s="329">
        <v>2005</v>
      </c>
      <c r="L12" s="419">
        <v>0.9</v>
      </c>
      <c r="M12" s="297">
        <f t="shared" si="3"/>
        <v>1985</v>
      </c>
      <c r="N12" s="298"/>
      <c r="O12" s="87">
        <f t="shared" si="0"/>
        <v>0.028853900817779266</v>
      </c>
      <c r="P12" s="87">
        <f t="shared" si="1"/>
        <v>0.014426950408889628</v>
      </c>
      <c r="Q12" s="87">
        <f t="shared" si="2"/>
        <v>0</v>
      </c>
      <c r="R12" s="408">
        <f t="shared" si="4"/>
        <v>51932.700000000004</v>
      </c>
      <c r="S12" s="408">
        <f t="shared" si="5"/>
        <v>77945.40000000001</v>
      </c>
    </row>
    <row r="13" spans="1:19" ht="15.75" customHeight="1">
      <c r="A13" s="420" t="s">
        <v>387</v>
      </c>
      <c r="B13" s="309">
        <v>700000</v>
      </c>
      <c r="C13" s="309">
        <v>950000</v>
      </c>
      <c r="D13" s="305">
        <v>0.011899999999999999</v>
      </c>
      <c r="E13" s="306">
        <v>0.0108</v>
      </c>
      <c r="F13" s="291">
        <v>0.01</v>
      </c>
      <c r="G13" s="306">
        <v>0.0075</v>
      </c>
      <c r="H13" s="307">
        <v>0.01</v>
      </c>
      <c r="I13" s="308">
        <v>0.04</v>
      </c>
      <c r="J13" s="306">
        <v>0.05</v>
      </c>
      <c r="K13" s="329">
        <v>2010</v>
      </c>
      <c r="L13" s="419">
        <v>0.1</v>
      </c>
      <c r="M13" s="297">
        <f t="shared" si="3"/>
        <v>1986</v>
      </c>
      <c r="N13" s="298"/>
      <c r="O13" s="87">
        <f t="shared" si="0"/>
        <v>0.018204784532536746</v>
      </c>
      <c r="P13" s="87">
        <f t="shared" si="1"/>
        <v>0.011377990332835467</v>
      </c>
      <c r="Q13" s="87">
        <f t="shared" si="2"/>
        <v>0.004551196133134187</v>
      </c>
      <c r="R13" s="408">
        <f t="shared" si="4"/>
        <v>70000</v>
      </c>
      <c r="S13" s="408">
        <f t="shared" si="5"/>
        <v>95000</v>
      </c>
    </row>
    <row r="14" spans="1:19" ht="15.75" customHeight="1">
      <c r="A14" s="420" t="s">
        <v>388</v>
      </c>
      <c r="B14" s="309"/>
      <c r="C14" s="309"/>
      <c r="D14" s="305"/>
      <c r="E14" s="306"/>
      <c r="F14" s="291"/>
      <c r="G14" s="306"/>
      <c r="H14" s="307"/>
      <c r="I14" s="308"/>
      <c r="J14" s="306"/>
      <c r="K14" s="329"/>
      <c r="L14" s="419"/>
      <c r="M14" s="297">
        <f t="shared" si="3"/>
        <v>1987</v>
      </c>
      <c r="N14" s="298"/>
      <c r="O14" s="87" t="str">
        <f t="shared" si="0"/>
        <v>0</v>
      </c>
      <c r="P14" s="87" t="str">
        <f t="shared" si="1"/>
        <v>0</v>
      </c>
      <c r="Q14" s="87" t="str">
        <f t="shared" si="2"/>
        <v>0</v>
      </c>
      <c r="R14" s="408">
        <f t="shared" si="4"/>
        <v>0</v>
      </c>
      <c r="S14" s="408">
        <f t="shared" si="5"/>
        <v>0</v>
      </c>
    </row>
    <row r="15" spans="1:19" ht="15.75" customHeight="1">
      <c r="A15" s="420" t="s">
        <v>389</v>
      </c>
      <c r="B15" s="309"/>
      <c r="C15" s="309"/>
      <c r="D15" s="305"/>
      <c r="E15" s="306"/>
      <c r="F15" s="291"/>
      <c r="G15" s="306"/>
      <c r="H15" s="307"/>
      <c r="I15" s="308"/>
      <c r="J15" s="306"/>
      <c r="K15" s="329"/>
      <c r="L15" s="419"/>
      <c r="M15" s="297">
        <f t="shared" si="3"/>
        <v>1988</v>
      </c>
      <c r="N15" s="298"/>
      <c r="O15" s="87" t="str">
        <f t="shared" si="0"/>
        <v>0</v>
      </c>
      <c r="P15" s="87" t="str">
        <f t="shared" si="1"/>
        <v>0</v>
      </c>
      <c r="Q15" s="87" t="str">
        <f t="shared" si="2"/>
        <v>0</v>
      </c>
      <c r="R15" s="408">
        <f t="shared" si="4"/>
        <v>0</v>
      </c>
      <c r="S15" s="408">
        <f t="shared" si="5"/>
        <v>0</v>
      </c>
    </row>
    <row r="16" spans="1:19" ht="15.75" customHeight="1">
      <c r="A16" s="420" t="s">
        <v>401</v>
      </c>
      <c r="B16" s="309"/>
      <c r="C16" s="445"/>
      <c r="D16" s="291"/>
      <c r="E16" s="291"/>
      <c r="F16" s="291"/>
      <c r="G16" s="404"/>
      <c r="H16" s="307"/>
      <c r="I16" s="308"/>
      <c r="J16" s="306"/>
      <c r="K16" s="329"/>
      <c r="L16" s="419"/>
      <c r="M16" s="297">
        <f t="shared" si="3"/>
        <v>1989</v>
      </c>
      <c r="N16" s="298"/>
      <c r="O16" s="87" t="str">
        <f t="shared" si="0"/>
        <v>0</v>
      </c>
      <c r="P16" s="87" t="str">
        <f t="shared" si="1"/>
        <v>0</v>
      </c>
      <c r="Q16" s="87" t="str">
        <f t="shared" si="2"/>
        <v>0</v>
      </c>
      <c r="R16" s="408">
        <f t="shared" si="4"/>
        <v>0</v>
      </c>
      <c r="S16" s="408">
        <f t="shared" si="5"/>
        <v>0</v>
      </c>
    </row>
    <row r="17" spans="1:19" ht="15.75" customHeight="1">
      <c r="A17" s="421" t="s">
        <v>402</v>
      </c>
      <c r="B17" s="310"/>
      <c r="C17" s="310"/>
      <c r="D17" s="311"/>
      <c r="E17" s="312"/>
      <c r="F17" s="313"/>
      <c r="G17" s="312"/>
      <c r="H17" s="314"/>
      <c r="I17" s="315"/>
      <c r="J17" s="312"/>
      <c r="K17" s="406"/>
      <c r="L17" s="422"/>
      <c r="M17" s="297">
        <f t="shared" si="3"/>
        <v>1990</v>
      </c>
      <c r="N17" s="298"/>
      <c r="O17" s="87" t="str">
        <f t="shared" si="0"/>
        <v>0</v>
      </c>
      <c r="P17" s="87" t="str">
        <f t="shared" si="1"/>
        <v>0</v>
      </c>
      <c r="Q17" s="87" t="str">
        <f t="shared" si="2"/>
        <v>0</v>
      </c>
      <c r="R17" s="408">
        <f t="shared" si="4"/>
        <v>0</v>
      </c>
      <c r="S17" s="408">
        <f t="shared" si="5"/>
        <v>0</v>
      </c>
    </row>
    <row r="18" spans="1:19" s="72" customFormat="1" ht="15.75" customHeight="1">
      <c r="A18" s="277"/>
      <c r="B18" s="316"/>
      <c r="C18" s="277"/>
      <c r="D18" s="277"/>
      <c r="E18" s="277"/>
      <c r="F18" s="317">
        <f>IF(G19&lt;&gt;"","",IF(G20&lt;&gt;"","","Please select one!"))</f>
      </c>
      <c r="G18" s="277"/>
      <c r="H18" s="472">
        <f>IF($G$19="","",IF($G$20&lt;&gt;"","Please select ONLY one!",""))</f>
      </c>
      <c r="I18" s="318"/>
      <c r="J18" s="319"/>
      <c r="K18" s="320"/>
      <c r="L18" s="320"/>
      <c r="M18" s="297">
        <f t="shared" si="3"/>
        <v>1991</v>
      </c>
      <c r="N18" s="298"/>
      <c r="O18" s="194"/>
      <c r="P18" s="194"/>
      <c r="Q18" s="194"/>
      <c r="R18" s="409">
        <f>SUM(R10:R17)</f>
        <v>150173.7</v>
      </c>
      <c r="S18" s="409">
        <f>SUM(S10:S17)</f>
        <v>211456.40000000002</v>
      </c>
    </row>
    <row r="19" spans="1:18" s="72" customFormat="1" ht="15.75" customHeight="1">
      <c r="A19" s="301" t="s">
        <v>487</v>
      </c>
      <c r="B19" s="277"/>
      <c r="C19" s="277"/>
      <c r="D19" s="277"/>
      <c r="E19" s="277"/>
      <c r="F19" s="563" t="s">
        <v>362</v>
      </c>
      <c r="G19" s="321" t="s">
        <v>67</v>
      </c>
      <c r="H19" s="322" t="s">
        <v>363</v>
      </c>
      <c r="I19" s="318"/>
      <c r="J19" s="319"/>
      <c r="K19" s="320"/>
      <c r="L19" s="320"/>
      <c r="M19" s="297">
        <f t="shared" si="3"/>
        <v>1992</v>
      </c>
      <c r="N19" s="298"/>
      <c r="O19" s="194"/>
      <c r="P19" s="194"/>
      <c r="Q19" s="194"/>
      <c r="R19" s="67"/>
    </row>
    <row r="20" spans="1:18" s="72" customFormat="1" ht="15.75" customHeight="1">
      <c r="A20" s="303"/>
      <c r="B20" s="277"/>
      <c r="C20" s="277"/>
      <c r="D20" s="277"/>
      <c r="E20" s="277"/>
      <c r="F20" s="564"/>
      <c r="G20" s="321"/>
      <c r="H20" s="322" t="s">
        <v>364</v>
      </c>
      <c r="I20" s="318"/>
      <c r="J20" s="319"/>
      <c r="K20" s="320"/>
      <c r="L20" s="320"/>
      <c r="M20" s="297">
        <f t="shared" si="3"/>
        <v>1993</v>
      </c>
      <c r="N20" s="298"/>
      <c r="O20" s="194"/>
      <c r="P20" s="194"/>
      <c r="Q20" s="194"/>
      <c r="R20" s="67"/>
    </row>
    <row r="21" spans="1:18" s="72" customFormat="1" ht="15.75" customHeight="1">
      <c r="A21" s="323" t="s">
        <v>365</v>
      </c>
      <c r="B21" s="324"/>
      <c r="C21" s="325" t="str">
        <f>IF(G19&lt;&gt;"","Выбраны партнеры ГВР!","")</f>
        <v>Выбраны партнеры ГВР!</v>
      </c>
      <c r="D21" s="277"/>
      <c r="E21" s="277"/>
      <c r="F21" s="277"/>
      <c r="G21" s="277"/>
      <c r="H21" s="277"/>
      <c r="I21" s="277"/>
      <c r="J21" s="326"/>
      <c r="K21" s="327"/>
      <c r="L21" s="327"/>
      <c r="M21" s="297">
        <f t="shared" si="3"/>
        <v>1994</v>
      </c>
      <c r="N21" s="298"/>
      <c r="O21" s="194"/>
      <c r="P21" s="194"/>
      <c r="Q21" s="194"/>
      <c r="R21" s="67"/>
    </row>
    <row r="22" spans="1:19" ht="15.75" customHeight="1">
      <c r="A22" s="423" t="s">
        <v>390</v>
      </c>
      <c r="B22" s="482">
        <v>20000</v>
      </c>
      <c r="C22" s="482">
        <v>40000</v>
      </c>
      <c r="D22" s="479">
        <v>0.011899999999999999</v>
      </c>
      <c r="E22" s="415">
        <v>0.0108</v>
      </c>
      <c r="F22" s="414">
        <v>0.01</v>
      </c>
      <c r="G22" s="415">
        <v>0.0075</v>
      </c>
      <c r="H22" s="480">
        <v>0.01</v>
      </c>
      <c r="I22" s="481">
        <v>0.02</v>
      </c>
      <c r="J22" s="415">
        <v>0.025</v>
      </c>
      <c r="K22" s="416">
        <v>2010</v>
      </c>
      <c r="L22" s="417"/>
      <c r="M22" s="297">
        <f t="shared" si="3"/>
        <v>1995</v>
      </c>
      <c r="N22" s="298"/>
      <c r="O22" s="87">
        <f aca="true" t="shared" si="6" ref="O22:O27">IF((H22)&gt;0,($J22-H22)/LN($K22-$B$2+1),"0")</f>
        <v>0.00682679419970128</v>
      </c>
      <c r="P22" s="87">
        <f aca="true" t="shared" si="7" ref="P22:P27">IF(H22&gt;0,($J22-((H22+I22)/2))/LN($K22-$B$2+1),"0")</f>
        <v>0.004551196133134187</v>
      </c>
      <c r="Q22" s="87">
        <f aca="true" t="shared" si="8" ref="Q22:Q27">IF((I22)&gt;0,($J22-I22)/LN($K22-$B$2+1),"0")</f>
        <v>0.0022755980665670936</v>
      </c>
      <c r="R22" s="408">
        <f aca="true" t="shared" si="9" ref="R22:R27">B22*L22</f>
        <v>0</v>
      </c>
      <c r="S22" s="408">
        <f aca="true" t="shared" si="10" ref="S22:S27">C22*L22</f>
        <v>0</v>
      </c>
    </row>
    <row r="23" spans="1:19" ht="15.75" customHeight="1">
      <c r="A23" s="420" t="s">
        <v>403</v>
      </c>
      <c r="B23" s="328">
        <v>50000</v>
      </c>
      <c r="C23" s="328">
        <v>80000</v>
      </c>
      <c r="D23" s="305">
        <v>0.011899999999999999</v>
      </c>
      <c r="E23" s="306">
        <v>0.0108</v>
      </c>
      <c r="F23" s="291">
        <v>0.01</v>
      </c>
      <c r="G23" s="306">
        <v>0.0075</v>
      </c>
      <c r="H23" s="307">
        <v>0.02</v>
      </c>
      <c r="I23" s="308">
        <v>0.03</v>
      </c>
      <c r="J23" s="306">
        <v>0.04</v>
      </c>
      <c r="K23" s="329">
        <v>2010</v>
      </c>
      <c r="L23" s="419"/>
      <c r="M23" s="297">
        <f t="shared" si="3"/>
        <v>1996</v>
      </c>
      <c r="N23" s="298"/>
      <c r="O23" s="87">
        <f t="shared" si="6"/>
        <v>0.009102392266268373</v>
      </c>
      <c r="P23" s="87">
        <f t="shared" si="7"/>
        <v>0.0068267941997012796</v>
      </c>
      <c r="Q23" s="87">
        <f t="shared" si="8"/>
        <v>0.004551196133134187</v>
      </c>
      <c r="R23" s="408">
        <f t="shared" si="9"/>
        <v>0</v>
      </c>
      <c r="S23" s="408">
        <f t="shared" si="10"/>
        <v>0</v>
      </c>
    </row>
    <row r="24" spans="1:19" ht="15.75" customHeight="1">
      <c r="A24" s="420" t="s">
        <v>404</v>
      </c>
      <c r="B24" s="328">
        <v>450000</v>
      </c>
      <c r="C24" s="328">
        <v>600000</v>
      </c>
      <c r="D24" s="305">
        <v>0.011899999999999999</v>
      </c>
      <c r="E24" s="306">
        <v>0.0108</v>
      </c>
      <c r="F24" s="291">
        <v>0.01</v>
      </c>
      <c r="G24" s="306">
        <v>0.0075</v>
      </c>
      <c r="H24" s="307">
        <v>0.002</v>
      </c>
      <c r="I24" s="308">
        <v>0.005</v>
      </c>
      <c r="J24" s="306">
        <v>0.01</v>
      </c>
      <c r="K24" s="329">
        <v>2010</v>
      </c>
      <c r="L24" s="419"/>
      <c r="M24" s="297">
        <f t="shared" si="3"/>
        <v>1997</v>
      </c>
      <c r="N24" s="298"/>
      <c r="O24" s="87">
        <f t="shared" si="6"/>
        <v>0.0036409569065073495</v>
      </c>
      <c r="P24" s="87">
        <f t="shared" si="7"/>
        <v>0.0029582774865372216</v>
      </c>
      <c r="Q24" s="87">
        <f t="shared" si="8"/>
        <v>0.002275598066567093</v>
      </c>
      <c r="R24" s="408">
        <f t="shared" si="9"/>
        <v>0</v>
      </c>
      <c r="S24" s="408">
        <f t="shared" si="10"/>
        <v>0</v>
      </c>
    </row>
    <row r="25" spans="1:19" ht="15.75" customHeight="1">
      <c r="A25" s="420" t="s">
        <v>393</v>
      </c>
      <c r="B25" s="328"/>
      <c r="C25" s="328"/>
      <c r="D25" s="305"/>
      <c r="E25" s="306"/>
      <c r="F25" s="291"/>
      <c r="G25" s="306"/>
      <c r="H25" s="307"/>
      <c r="I25" s="308"/>
      <c r="J25" s="306"/>
      <c r="K25" s="329"/>
      <c r="L25" s="419"/>
      <c r="M25" s="297">
        <f t="shared" si="3"/>
        <v>1998</v>
      </c>
      <c r="N25" s="298"/>
      <c r="O25" s="87" t="str">
        <f t="shared" si="6"/>
        <v>0</v>
      </c>
      <c r="P25" s="87" t="str">
        <f t="shared" si="7"/>
        <v>0</v>
      </c>
      <c r="Q25" s="87" t="str">
        <f t="shared" si="8"/>
        <v>0</v>
      </c>
      <c r="R25" s="408">
        <f t="shared" si="9"/>
        <v>0</v>
      </c>
      <c r="S25" s="408">
        <f t="shared" si="10"/>
        <v>0</v>
      </c>
    </row>
    <row r="26" spans="1:19" ht="15.75" customHeight="1">
      <c r="A26" s="420" t="s">
        <v>394</v>
      </c>
      <c r="B26" s="328"/>
      <c r="C26" s="328"/>
      <c r="D26" s="305"/>
      <c r="E26" s="306"/>
      <c r="F26" s="291"/>
      <c r="G26" s="306"/>
      <c r="H26" s="307"/>
      <c r="I26" s="308"/>
      <c r="J26" s="306"/>
      <c r="K26" s="329"/>
      <c r="L26" s="419"/>
      <c r="M26" s="297">
        <f>1+M25</f>
        <v>1999</v>
      </c>
      <c r="N26" s="298"/>
      <c r="O26" s="87" t="str">
        <f t="shared" si="6"/>
        <v>0</v>
      </c>
      <c r="P26" s="87" t="str">
        <f t="shared" si="7"/>
        <v>0</v>
      </c>
      <c r="Q26" s="87" t="str">
        <f t="shared" si="8"/>
        <v>0</v>
      </c>
      <c r="R26" s="408">
        <f t="shared" si="9"/>
        <v>0</v>
      </c>
      <c r="S26" s="408">
        <f t="shared" si="10"/>
        <v>0</v>
      </c>
    </row>
    <row r="27" spans="1:19" s="72" customFormat="1" ht="15.75" customHeight="1">
      <c r="A27" s="421" t="s">
        <v>395</v>
      </c>
      <c r="B27" s="424"/>
      <c r="C27" s="446"/>
      <c r="D27" s="313"/>
      <c r="E27" s="313"/>
      <c r="F27" s="313"/>
      <c r="G27" s="431"/>
      <c r="H27" s="314"/>
      <c r="I27" s="315"/>
      <c r="J27" s="312"/>
      <c r="K27" s="406"/>
      <c r="L27" s="425"/>
      <c r="M27" s="330">
        <f t="shared" si="3"/>
        <v>2000</v>
      </c>
      <c r="N27" s="298">
        <f>IF(Base_year=M27,'Базовый год'!$M$33/'Set-up'!$B$6*100,"")</f>
      </c>
      <c r="O27" s="87" t="str">
        <f t="shared" si="6"/>
        <v>0</v>
      </c>
      <c r="P27" s="87" t="str">
        <f t="shared" si="7"/>
        <v>0</v>
      </c>
      <c r="Q27" s="87" t="str">
        <f t="shared" si="8"/>
        <v>0</v>
      </c>
      <c r="R27" s="408">
        <f t="shared" si="9"/>
        <v>0</v>
      </c>
      <c r="S27" s="408">
        <f t="shared" si="10"/>
        <v>0</v>
      </c>
    </row>
    <row r="28" spans="1:19" s="73" customFormat="1" ht="15.75" customHeight="1">
      <c r="A28" s="331"/>
      <c r="B28" s="332"/>
      <c r="C28" s="324"/>
      <c r="D28" s="333"/>
      <c r="E28" s="333"/>
      <c r="F28" s="334"/>
      <c r="G28" s="333"/>
      <c r="H28" s="335"/>
      <c r="I28" s="335"/>
      <c r="J28" s="333"/>
      <c r="K28" s="405"/>
      <c r="L28" s="405"/>
      <c r="M28" s="297">
        <f t="shared" si="3"/>
        <v>2001</v>
      </c>
      <c r="N28" s="298">
        <f>IF(Base_year=M28,'Базовый год'!$M$33/'Set-up'!$B$6*100,"")</f>
      </c>
      <c r="O28" s="194"/>
      <c r="P28" s="194"/>
      <c r="Q28" s="194"/>
      <c r="R28" s="410">
        <f>SUM(R22:R27)</f>
        <v>0</v>
      </c>
      <c r="S28" s="410">
        <f>SUM(S22:S27)</f>
        <v>0</v>
      </c>
    </row>
    <row r="29" spans="1:17" ht="15.75" customHeight="1">
      <c r="A29" s="323" t="s">
        <v>370</v>
      </c>
      <c r="B29" s="324"/>
      <c r="C29" s="336">
        <f>IF(G20&lt;&gt;"","Выбранные показатели ЖК должны применяться к городским и сельским женщинам ГНР!","")</f>
      </c>
      <c r="D29" s="333"/>
      <c r="E29" s="333"/>
      <c r="F29" s="333"/>
      <c r="G29" s="333"/>
      <c r="H29" s="337"/>
      <c r="I29" s="337"/>
      <c r="J29" s="326"/>
      <c r="K29" s="327"/>
      <c r="L29" s="327"/>
      <c r="M29" s="338">
        <f t="shared" si="3"/>
        <v>2002</v>
      </c>
      <c r="N29" s="298">
        <f>IF(Base_year=M29,'Базовый год'!$M$33/'Set-up'!$B$6*100,"")</f>
        <v>0.3488127496332953</v>
      </c>
      <c r="O29" s="194"/>
      <c r="P29" s="194"/>
      <c r="Q29" s="194"/>
    </row>
    <row r="30" spans="1:17" ht="15.75" customHeight="1">
      <c r="A30" s="413" t="s">
        <v>371</v>
      </c>
      <c r="B30" s="426">
        <f>(($B$6*0.5)-S18)*$B$7</f>
        <v>8470267.74</v>
      </c>
      <c r="C30" s="426">
        <f>(($B$6*0.5)-R18)*$B$7</f>
        <v>8525422.170000002</v>
      </c>
      <c r="D30" s="483">
        <v>0.012</v>
      </c>
      <c r="E30" s="414">
        <v>0.011</v>
      </c>
      <c r="F30" s="414">
        <v>0.01</v>
      </c>
      <c r="G30" s="414">
        <v>0.008</v>
      </c>
      <c r="H30" s="484">
        <v>0.0005</v>
      </c>
      <c r="I30" s="427">
        <v>0.001</v>
      </c>
      <c r="J30" s="428">
        <v>0.0015</v>
      </c>
      <c r="K30" s="429">
        <v>2010</v>
      </c>
      <c r="L30" s="407"/>
      <c r="M30" s="297">
        <f t="shared" si="3"/>
        <v>2003</v>
      </c>
      <c r="N30" s="339">
        <f>IF(Base_year=M30,'Базовый год'!$M$33/'Set-up'!$B$6*100,"")</f>
      </c>
      <c r="O30" s="87">
        <f>IF((H30)&gt;0,($J30-H30)/LN($K30-$B$2+1),"0")</f>
        <v>0.0004551196133134187</v>
      </c>
      <c r="P30" s="87">
        <f>IF(H30&gt;0,($J30-((H30+I30)/2))/LN($K30-$B$2+1),"0")</f>
        <v>0.000341339709985064</v>
      </c>
      <c r="Q30" s="87">
        <f>IF((I30)&gt;0,($J30-I30)/LN($K30-$B$2+1),"0")</f>
        <v>0.00022755980665670935</v>
      </c>
    </row>
    <row r="31" spans="1:17" ht="15.75" customHeight="1">
      <c r="A31" s="430" t="s">
        <v>374</v>
      </c>
      <c r="B31" s="340">
        <f>(($B$6*0.5)-S18)*(1-$B$7)</f>
        <v>941140.8599999998</v>
      </c>
      <c r="C31" s="340">
        <f>(($B$6*0.5)-R18)*(1-$B$7)</f>
        <v>947269.1299999999</v>
      </c>
      <c r="D31" s="485">
        <v>0.012</v>
      </c>
      <c r="E31" s="313">
        <v>0.011</v>
      </c>
      <c r="F31" s="313">
        <v>0.01</v>
      </c>
      <c r="G31" s="313">
        <v>0.008</v>
      </c>
      <c r="H31" s="486">
        <v>1E-05</v>
      </c>
      <c r="I31" s="432">
        <v>0.0005</v>
      </c>
      <c r="J31" s="433">
        <v>0.00055</v>
      </c>
      <c r="K31" s="434">
        <v>2010</v>
      </c>
      <c r="L31" s="407"/>
      <c r="M31" s="297">
        <f t="shared" si="3"/>
        <v>2004</v>
      </c>
      <c r="N31" s="339">
        <f>IF(Base_year=M31,'Базовый год'!$M$33/'Set-up'!$B$6*100,"")</f>
      </c>
      <c r="O31" s="87">
        <f>IF((H31)&gt;0,($J31-H31)/LN($K31-$B$2+1),"0")</f>
        <v>0.0002457645911892461</v>
      </c>
      <c r="P31" s="87">
        <f>IF(H31&gt;0,($J31-((H31+I31)/2))/LN($K31-$B$2+1),"0")</f>
        <v>0.0001342602859274585</v>
      </c>
      <c r="Q31" s="87">
        <f>IF((I31)&gt;0,($J31-I31)/LN($K31-$B$2+1),"0")</f>
        <v>2.2755980665670944E-05</v>
      </c>
    </row>
    <row r="32" spans="1:15" ht="12.75" customHeight="1">
      <c r="A32" s="341"/>
      <c r="B32" s="300"/>
      <c r="C32" s="342"/>
      <c r="M32" s="297">
        <f t="shared" si="3"/>
        <v>2005</v>
      </c>
      <c r="N32" s="343">
        <f>'2005'!M33/'2005'!B36*100</f>
        <v>0.4327795082492024</v>
      </c>
      <c r="O32" s="67"/>
    </row>
    <row r="33" spans="1:15" ht="16.5">
      <c r="A33" s="344"/>
      <c r="B33" s="345"/>
      <c r="C33" s="346"/>
      <c r="M33" s="297">
        <f t="shared" si="3"/>
        <v>2006</v>
      </c>
      <c r="N33" s="347"/>
      <c r="O33" s="67"/>
    </row>
    <row r="34" spans="1:15" ht="16.5">
      <c r="A34" s="348"/>
      <c r="B34" s="349"/>
      <c r="C34" s="346"/>
      <c r="G34" s="277"/>
      <c r="I34" s="277"/>
      <c r="J34" s="277"/>
      <c r="M34" s="297">
        <f t="shared" si="3"/>
        <v>2007</v>
      </c>
      <c r="N34" s="347"/>
      <c r="O34" s="67"/>
    </row>
    <row r="35" spans="1:15" ht="16.5">
      <c r="A35" s="350" t="s">
        <v>377</v>
      </c>
      <c r="B35" s="351"/>
      <c r="C35" s="346"/>
      <c r="G35" s="352"/>
      <c r="H35" s="353"/>
      <c r="M35" s="297">
        <f t="shared" si="3"/>
        <v>2008</v>
      </c>
      <c r="N35" s="347"/>
      <c r="O35" s="67"/>
    </row>
    <row r="36" spans="1:15" ht="16.5">
      <c r="A36" s="354" t="s">
        <v>76</v>
      </c>
      <c r="B36" s="355">
        <v>29.745695056150083</v>
      </c>
      <c r="G36" s="352"/>
      <c r="H36" s="353"/>
      <c r="M36" s="297">
        <f t="shared" si="3"/>
        <v>2009</v>
      </c>
      <c r="N36" s="347"/>
      <c r="O36" s="67"/>
    </row>
    <row r="37" spans="1:15" ht="13.5" customHeight="1">
      <c r="A37" s="356" t="s">
        <v>106</v>
      </c>
      <c r="B37" s="357">
        <v>0.010859781209835264</v>
      </c>
      <c r="C37" s="358"/>
      <c r="G37" s="352"/>
      <c r="H37" s="353"/>
      <c r="M37" s="297">
        <f t="shared" si="3"/>
        <v>2010</v>
      </c>
      <c r="N37" s="359">
        <f>'2010'!M33/'2010'!B36*100</f>
        <v>0.4962577885116142</v>
      </c>
      <c r="O37" s="67"/>
    </row>
    <row r="38" spans="1:17" ht="16.5">
      <c r="A38" s="356" t="s">
        <v>107</v>
      </c>
      <c r="B38" s="360">
        <v>1980</v>
      </c>
      <c r="D38" s="346"/>
      <c r="G38" s="352"/>
      <c r="H38" s="353"/>
      <c r="M38" s="297">
        <f t="shared" si="3"/>
        <v>2011</v>
      </c>
      <c r="N38" s="347"/>
      <c r="O38" s="67"/>
      <c r="P38" s="197"/>
      <c r="Q38" s="197"/>
    </row>
    <row r="39" spans="1:17" ht="12.75" customHeight="1">
      <c r="A39" s="356" t="s">
        <v>108</v>
      </c>
      <c r="B39" s="360">
        <v>10000</v>
      </c>
      <c r="C39" s="361"/>
      <c r="D39" s="346"/>
      <c r="E39" s="346"/>
      <c r="F39" s="362"/>
      <c r="G39" s="352"/>
      <c r="H39" s="352"/>
      <c r="M39" s="297">
        <f t="shared" si="3"/>
        <v>2012</v>
      </c>
      <c r="N39" s="347"/>
      <c r="O39" s="67"/>
      <c r="P39" s="197"/>
      <c r="Q39" s="197"/>
    </row>
    <row r="40" spans="1:17" ht="16.5">
      <c r="A40" s="363" t="s">
        <v>1</v>
      </c>
      <c r="B40" s="364">
        <f>'EPP model'!V504</f>
        <v>0.04656433167723288</v>
      </c>
      <c r="D40" s="346"/>
      <c r="E40" s="346"/>
      <c r="F40" s="346"/>
      <c r="G40" s="346"/>
      <c r="H40" s="346"/>
      <c r="M40" s="297">
        <f t="shared" si="3"/>
        <v>2013</v>
      </c>
      <c r="N40" s="347"/>
      <c r="O40" s="67"/>
      <c r="P40" s="197"/>
      <c r="Q40" s="197"/>
    </row>
    <row r="41" spans="1:17" ht="16.5">
      <c r="A41" s="303" t="s">
        <v>491</v>
      </c>
      <c r="E41" s="346"/>
      <c r="F41" s="346"/>
      <c r="G41" s="346"/>
      <c r="H41" s="346"/>
      <c r="M41" s="297">
        <f t="shared" si="3"/>
        <v>2014</v>
      </c>
      <c r="N41" s="347"/>
      <c r="O41" s="67"/>
      <c r="P41" s="197"/>
      <c r="Q41" s="197"/>
    </row>
    <row r="42" spans="1:15" ht="15">
      <c r="A42" s="365" t="str">
        <f>A10</f>
        <v>ПИН</v>
      </c>
      <c r="B42" s="366">
        <v>0.008</v>
      </c>
      <c r="D42" s="358"/>
      <c r="M42" s="297">
        <f t="shared" si="3"/>
        <v>2015</v>
      </c>
      <c r="N42" s="347"/>
      <c r="O42" s="67"/>
    </row>
    <row r="43" spans="1:15" ht="15">
      <c r="A43" s="365" t="str">
        <f aca="true" t="shared" si="11" ref="A43:A49">A11</f>
        <v>МСМ</v>
      </c>
      <c r="B43" s="366">
        <v>0.05</v>
      </c>
      <c r="C43" s="367"/>
      <c r="E43" s="368"/>
      <c r="M43" s="297">
        <f t="shared" si="3"/>
        <v>2016</v>
      </c>
      <c r="N43" s="347"/>
      <c r="O43" s="67"/>
    </row>
    <row r="44" spans="1:15" ht="15">
      <c r="A44" s="365" t="str">
        <f t="shared" si="11"/>
        <v>РСБ</v>
      </c>
      <c r="B44" s="366">
        <v>0.007</v>
      </c>
      <c r="D44" s="369"/>
      <c r="M44" s="297">
        <f t="shared" si="3"/>
        <v>2017</v>
      </c>
      <c r="N44" s="347"/>
      <c r="O44" s="67"/>
    </row>
    <row r="45" spans="1:15" ht="15">
      <c r="A45" s="365" t="str">
        <f t="shared" si="11"/>
        <v>Клиенты РСБ</v>
      </c>
      <c r="B45" s="366">
        <v>0.002</v>
      </c>
      <c r="E45" s="369"/>
      <c r="M45" s="297">
        <f t="shared" si="3"/>
        <v>2018</v>
      </c>
      <c r="N45" s="347"/>
      <c r="O45" s="67"/>
    </row>
    <row r="46" spans="1:15" ht="14.25">
      <c r="A46" s="365" t="str">
        <f t="shared" si="11"/>
        <v>Дополнительная ГБВР1</v>
      </c>
      <c r="B46" s="366"/>
      <c r="M46" s="297">
        <f t="shared" si="3"/>
        <v>2019</v>
      </c>
      <c r="N46" s="347"/>
      <c r="O46" s="67"/>
    </row>
    <row r="47" spans="1:15" ht="14.25">
      <c r="A47" s="365" t="str">
        <f t="shared" si="11"/>
        <v>Дополнительная ГБВР2</v>
      </c>
      <c r="B47" s="366"/>
      <c r="M47" s="297">
        <f t="shared" si="3"/>
        <v>2020</v>
      </c>
      <c r="N47" s="347">
        <f>'2020'!M33/'2020'!B36*100</f>
        <v>0.5033081104224157</v>
      </c>
      <c r="O47" s="67"/>
    </row>
    <row r="48" spans="1:15" ht="14.25">
      <c r="A48" s="365" t="str">
        <f t="shared" si="11"/>
        <v>Дополнительная ГБВР3</v>
      </c>
      <c r="B48" s="366"/>
      <c r="D48" s="367"/>
      <c r="M48" s="297">
        <f t="shared" si="3"/>
        <v>2021</v>
      </c>
      <c r="N48" s="347"/>
      <c r="O48" s="67"/>
    </row>
    <row r="49" spans="1:15" ht="14.25">
      <c r="A49" s="365" t="str">
        <f t="shared" si="11"/>
        <v>Дополнительная ГБВР4</v>
      </c>
      <c r="B49" s="366"/>
      <c r="E49" s="367"/>
      <c r="F49" s="367"/>
      <c r="G49" s="367"/>
      <c r="H49" s="367"/>
      <c r="M49" s="297">
        <f t="shared" si="3"/>
        <v>2022</v>
      </c>
      <c r="N49" s="347"/>
      <c r="O49" s="67"/>
    </row>
    <row r="50" spans="1:15" ht="14.25">
      <c r="A50" s="365" t="str">
        <f aca="true" t="shared" si="12" ref="A50:A55">A22</f>
        <v>Партнеры ПИН</v>
      </c>
      <c r="B50" s="366">
        <v>0.001</v>
      </c>
      <c r="M50" s="297">
        <f t="shared" si="3"/>
        <v>2023</v>
      </c>
      <c r="N50" s="347"/>
      <c r="O50" s="67"/>
    </row>
    <row r="51" spans="1:15" ht="14.25">
      <c r="A51" s="365" t="str">
        <f t="shared" si="12"/>
        <v>Женщины-партнеры МСМ</v>
      </c>
      <c r="B51" s="366">
        <v>0.003</v>
      </c>
      <c r="M51" s="297">
        <f t="shared" si="3"/>
        <v>2024</v>
      </c>
      <c r="N51" s="347"/>
      <c r="O51" s="67"/>
    </row>
    <row r="52" spans="1:15" ht="14.25">
      <c r="A52" s="365" t="str">
        <f t="shared" si="12"/>
        <v>Партнеры клиентов РСБ</v>
      </c>
      <c r="B52" s="366">
        <v>0.0005</v>
      </c>
      <c r="M52" s="297">
        <f t="shared" si="3"/>
        <v>2025</v>
      </c>
      <c r="N52" s="347"/>
      <c r="O52" s="67"/>
    </row>
    <row r="53" spans="1:15" ht="14.25">
      <c r="A53" s="365" t="str">
        <f t="shared" si="12"/>
        <v>Дополнительная ГБНР1</v>
      </c>
      <c r="B53" s="366"/>
      <c r="M53" s="297">
        <f t="shared" si="3"/>
        <v>2026</v>
      </c>
      <c r="N53" s="347"/>
      <c r="O53" s="67"/>
    </row>
    <row r="54" spans="1:15" ht="11.25" customHeight="1">
      <c r="A54" s="365" t="str">
        <f t="shared" si="12"/>
        <v>Дополнительная ГБНР2</v>
      </c>
      <c r="B54" s="366"/>
      <c r="M54" s="297">
        <f t="shared" si="3"/>
        <v>2027</v>
      </c>
      <c r="N54" s="347"/>
      <c r="O54" s="67"/>
    </row>
    <row r="55" spans="1:15" ht="14.25">
      <c r="A55" s="365" t="str">
        <f t="shared" si="12"/>
        <v>Дополнительная ГБНР3</v>
      </c>
      <c r="B55" s="370"/>
      <c r="M55" s="297">
        <f t="shared" si="3"/>
        <v>2028</v>
      </c>
      <c r="N55" s="347"/>
      <c r="O55" s="67"/>
    </row>
    <row r="56" spans="1:15" ht="15">
      <c r="A56" s="371" t="s">
        <v>492</v>
      </c>
      <c r="B56" s="372"/>
      <c r="C56" s="373"/>
      <c r="D56" s="374"/>
      <c r="E56" s="375"/>
      <c r="F56" s="288" t="s">
        <v>398</v>
      </c>
      <c r="G56" s="376" t="s">
        <v>399</v>
      </c>
      <c r="H56" s="377"/>
      <c r="I56" s="378"/>
      <c r="J56" s="277"/>
      <c r="K56" s="277"/>
      <c r="L56" s="277"/>
      <c r="M56" s="297">
        <f t="shared" si="3"/>
        <v>2029</v>
      </c>
      <c r="N56" s="347"/>
      <c r="O56" s="67"/>
    </row>
    <row r="57" spans="1:15" ht="15">
      <c r="A57" s="379" t="str">
        <f>A10</f>
        <v>ПИН</v>
      </c>
      <c r="B57" s="380" t="str">
        <f>IF(B42="","",IF(B42&gt;'2010'!O4,"ok","Выше, чем максимальный размер группы!"))</f>
        <v>ok</v>
      </c>
      <c r="C57" s="380"/>
      <c r="D57" s="381"/>
      <c r="F57" s="382">
        <v>2003</v>
      </c>
      <c r="G57" s="383">
        <f>IF('Базовый год'!M29&lt;&gt;"0",'Базовый год'!M29/'Базовый год'!$M$12,"")</f>
        <v>0.06188798125122392</v>
      </c>
      <c r="H57" s="384"/>
      <c r="I57" s="385"/>
      <c r="J57" s="277"/>
      <c r="K57" s="277"/>
      <c r="L57" s="277"/>
      <c r="M57" s="297">
        <f t="shared" si="3"/>
        <v>2030</v>
      </c>
      <c r="N57" s="347">
        <f>'2030'!M33/'2030'!B36*100</f>
        <v>0.5033081104224157</v>
      </c>
      <c r="O57" s="67"/>
    </row>
    <row r="58" spans="1:15" ht="15">
      <c r="A58" s="379" t="str">
        <f aca="true" t="shared" si="13" ref="A58:A63">A11</f>
        <v>МСМ</v>
      </c>
      <c r="B58" s="380" t="str">
        <f>IF(B43="","",IF(B43&gt;'2010'!O5,"ok","Выше, чем максимальный размер группы!"))</f>
        <v>ok</v>
      </c>
      <c r="C58" s="380"/>
      <c r="D58" s="381"/>
      <c r="F58" s="386">
        <v>2005</v>
      </c>
      <c r="G58" s="383">
        <f>IF('2005'!M29&lt;&gt;"0",'2005'!$M$29/'2005'!$M$12,"")</f>
        <v>0.0812127416476867</v>
      </c>
      <c r="H58" s="384"/>
      <c r="I58" s="385"/>
      <c r="J58" s="277"/>
      <c r="K58" s="277"/>
      <c r="L58" s="277"/>
      <c r="M58" s="387"/>
      <c r="N58" s="388"/>
      <c r="O58" s="67"/>
    </row>
    <row r="59" spans="1:15" ht="15">
      <c r="A59" s="379" t="str">
        <f t="shared" si="13"/>
        <v>РСБ</v>
      </c>
      <c r="B59" s="380" t="str">
        <f>IF(B44="","",IF(B44&gt;'2010'!O6,"ok","Выше, чем максимальный размер группы!"))</f>
        <v>ok</v>
      </c>
      <c r="C59" s="389"/>
      <c r="D59" s="381"/>
      <c r="F59" s="390">
        <v>2010</v>
      </c>
      <c r="G59" s="391">
        <f>IF('2010'!M27&lt;&gt;"0",'2010'!$M$29/'2010'!$M$12,"")</f>
        <v>0.09578651536968405</v>
      </c>
      <c r="H59" s="392"/>
      <c r="I59" s="393"/>
      <c r="J59" s="277"/>
      <c r="K59" s="277"/>
      <c r="L59" s="277"/>
      <c r="M59" s="277"/>
      <c r="N59" s="278"/>
      <c r="O59" s="67"/>
    </row>
    <row r="60" spans="1:15" ht="12.75" customHeight="1">
      <c r="A60" s="379" t="str">
        <f t="shared" si="13"/>
        <v>Клиенты РСБ</v>
      </c>
      <c r="B60" s="380" t="str">
        <f>IF(B45="","",IF(B45&gt;'2010'!O7,"ok","Выше, чем максимальный размер группы!"))</f>
        <v>Выше, чем максимальный размер группы!</v>
      </c>
      <c r="C60" s="389"/>
      <c r="D60" s="381"/>
      <c r="O60" s="67"/>
    </row>
    <row r="61" spans="1:4" ht="15">
      <c r="A61" s="379" t="str">
        <f t="shared" si="13"/>
        <v>Дополнительная ГБВР1</v>
      </c>
      <c r="B61" s="380">
        <f>IF(B46="","",IF(B46&gt;'2010'!O8,"ok","Выше, чем максимальный размер группы!"))</f>
      </c>
      <c r="C61" s="389"/>
      <c r="D61" s="381"/>
    </row>
    <row r="62" spans="1:4" ht="15">
      <c r="A62" s="379" t="str">
        <f t="shared" si="13"/>
        <v>Дополнительная ГБВР2</v>
      </c>
      <c r="B62" s="380">
        <f>IF(B47="","",IF(B47&gt;'2010'!O9,"ok","Выше, чем максимальный размер группы!"))</f>
      </c>
      <c r="C62" s="389"/>
      <c r="D62" s="394"/>
    </row>
    <row r="63" spans="1:5" ht="15">
      <c r="A63" s="379" t="str">
        <f t="shared" si="13"/>
        <v>Дополнительная ГБВР3</v>
      </c>
      <c r="B63" s="380">
        <f>IF(B48="","",IF(B48&gt;'2010'!O10,"ok","Выше, чем максимальный размер группы!"))</f>
      </c>
      <c r="C63" s="389"/>
      <c r="D63" s="381"/>
      <c r="E63" s="395"/>
    </row>
    <row r="64" spans="1:4" ht="15">
      <c r="A64" s="379" t="str">
        <f>A17</f>
        <v>Дополнительная ГБВР4</v>
      </c>
      <c r="B64" s="380">
        <f>IF(B49="","",IF(B49&gt;'2010'!O11,"ok","Выше, чем максимальный размер группы!"))</f>
      </c>
      <c r="C64" s="389"/>
      <c r="D64" s="381"/>
    </row>
    <row r="65" spans="1:4" ht="15">
      <c r="A65" s="396" t="str">
        <f aca="true" t="shared" si="14" ref="A65:A70">A22</f>
        <v>Партнеры ПИН</v>
      </c>
      <c r="B65" s="380" t="str">
        <f>IF(B50="","",IF(B50&gt;'2010'!O16,"ok","Выше, чем максимальный размер группы!"))</f>
        <v>Выше, чем максимальный размер группы!</v>
      </c>
      <c r="C65" s="389"/>
      <c r="D65" s="381"/>
    </row>
    <row r="66" spans="1:4" ht="15">
      <c r="A66" s="396" t="str">
        <f t="shared" si="14"/>
        <v>Женщины-партнеры МСМ</v>
      </c>
      <c r="B66" s="380" t="str">
        <f>IF(B51="","",IF(B51&gt;'2010'!O17,"ok","Выше, чем максимальный размер группы!"))</f>
        <v>Выше, чем максимальный размер группы!</v>
      </c>
      <c r="C66" s="389"/>
      <c r="D66" s="381"/>
    </row>
    <row r="67" spans="1:4" ht="12" customHeight="1">
      <c r="A67" s="396" t="str">
        <f t="shared" si="14"/>
        <v>Партнеры клиентов РСБ</v>
      </c>
      <c r="B67" s="380" t="str">
        <f>IF(B52="","",IF(B52&gt;'2010'!O18,"ok","Выше, чем максимальный размер группы!"))</f>
        <v>Выше, чем максимальный размер группы!</v>
      </c>
      <c r="C67" s="389"/>
      <c r="D67" s="381"/>
    </row>
    <row r="68" spans="1:4" ht="15">
      <c r="A68" s="396" t="str">
        <f t="shared" si="14"/>
        <v>Дополнительная ГБНР1</v>
      </c>
      <c r="B68" s="380">
        <f>IF(B53="","",IF(B53&gt;'2010'!O19,"ok","Выше, чем максимальный размер группы!"))</f>
      </c>
      <c r="C68" s="389"/>
      <c r="D68" s="381"/>
    </row>
    <row r="69" spans="1:4" ht="15">
      <c r="A69" s="396" t="str">
        <f t="shared" si="14"/>
        <v>Дополнительная ГБНР2</v>
      </c>
      <c r="B69" s="380">
        <f>IF(B54="","",IF(B54&gt;'2010'!O20,"ok","Выше, чем максимальный размер группы!"))</f>
      </c>
      <c r="C69" s="389"/>
      <c r="D69" s="381"/>
    </row>
    <row r="70" spans="1:4" ht="15">
      <c r="A70" s="397" t="str">
        <f t="shared" si="14"/>
        <v>Дополнительная ГБНР3</v>
      </c>
      <c r="B70" s="398">
        <f>IF(B55="","",IF(B55&gt;'2010'!O21,"ok","Выше, чем максимальный размер группы!"))</f>
      </c>
      <c r="C70" s="399"/>
      <c r="D70" s="400"/>
    </row>
    <row r="71" ht="15">
      <c r="A71" s="282"/>
    </row>
    <row r="72" ht="15">
      <c r="A72" s="282"/>
    </row>
    <row r="73" ht="15">
      <c r="A73" s="282"/>
    </row>
    <row r="74" ht="15">
      <c r="A74" s="282"/>
    </row>
    <row r="75" ht="15">
      <c r="A75" s="282"/>
    </row>
    <row r="76" ht="15">
      <c r="A76" s="282"/>
    </row>
    <row r="77" ht="15">
      <c r="A77" s="282"/>
    </row>
    <row r="78" ht="15">
      <c r="A78" s="282"/>
    </row>
    <row r="79" ht="15">
      <c r="A79" s="282"/>
    </row>
    <row r="80" ht="15">
      <c r="A80" s="282"/>
    </row>
    <row r="81" ht="15">
      <c r="A81" s="282"/>
    </row>
  </sheetData>
  <sheetProtection sheet="1" objects="1" scenarios="1"/>
  <mergeCells count="11">
    <mergeCell ref="B4:C4"/>
    <mergeCell ref="L4:L5"/>
    <mergeCell ref="O4:Q4"/>
    <mergeCell ref="D4:G4"/>
    <mergeCell ref="J4:J5"/>
    <mergeCell ref="K4:K5"/>
    <mergeCell ref="R4:R5"/>
    <mergeCell ref="S4:S5"/>
    <mergeCell ref="F19:F20"/>
    <mergeCell ref="H4:I4"/>
    <mergeCell ref="M4:N5"/>
  </mergeCells>
  <printOptions/>
  <pageMargins left="0.62" right="0.51" top="0.64" bottom="0.57" header="0.5" footer="0.5"/>
  <pageSetup fitToHeight="1" fitToWidth="1" horizontalDpi="600" verticalDpi="600" orientation="portrait" paperSize="9" scale="46" r:id="rId2"/>
  <drawing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AK51"/>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O36" sqref="O36"/>
    </sheetView>
  </sheetViews>
  <sheetFormatPr defaultColWidth="9.140625" defaultRowHeight="12.75"/>
  <cols>
    <col min="1" max="1" width="25.421875" style="98" customWidth="1"/>
    <col min="2" max="6" width="12.7109375" style="98" customWidth="1"/>
    <col min="7" max="12" width="15.7109375" style="98" customWidth="1"/>
    <col min="13" max="13" width="15.28125" style="98" bestFit="1" customWidth="1"/>
    <col min="14" max="14" width="12.7109375" style="98" customWidth="1"/>
    <col min="15" max="16384" width="9.140625" style="98" customWidth="1"/>
  </cols>
  <sheetData>
    <row r="1" spans="1:13" ht="30" customHeight="1">
      <c r="A1" s="577" t="str">
        <f>'Set-up'!B1</f>
        <v>Belize</v>
      </c>
      <c r="B1" s="579" t="s">
        <v>477</v>
      </c>
      <c r="C1" s="579"/>
      <c r="D1" s="579" t="s">
        <v>348</v>
      </c>
      <c r="E1" s="579"/>
      <c r="F1" s="579"/>
      <c r="G1" s="576" t="s">
        <v>478</v>
      </c>
      <c r="H1" s="576"/>
      <c r="I1" s="579"/>
      <c r="J1" s="579"/>
      <c r="K1" s="579"/>
      <c r="L1" s="579"/>
      <c r="M1" s="576" t="s">
        <v>486</v>
      </c>
    </row>
    <row r="2" spans="1:37" ht="30" customHeight="1">
      <c r="A2" s="578"/>
      <c r="B2" s="99" t="s">
        <v>342</v>
      </c>
      <c r="C2" s="99" t="s">
        <v>343</v>
      </c>
      <c r="D2" s="99" t="s">
        <v>342</v>
      </c>
      <c r="E2" s="99" t="s">
        <v>479</v>
      </c>
      <c r="F2" s="99" t="s">
        <v>343</v>
      </c>
      <c r="G2" s="99" t="s">
        <v>480</v>
      </c>
      <c r="H2" s="99" t="s">
        <v>481</v>
      </c>
      <c r="I2" s="99" t="s">
        <v>482</v>
      </c>
      <c r="J2" s="99" t="s">
        <v>483</v>
      </c>
      <c r="K2" s="99" t="s">
        <v>484</v>
      </c>
      <c r="L2" s="99" t="s">
        <v>485</v>
      </c>
      <c r="M2" s="576"/>
      <c r="N2" s="100"/>
      <c r="O2" s="100"/>
      <c r="P2" s="100"/>
      <c r="Q2" s="100"/>
      <c r="R2" s="100"/>
      <c r="S2" s="100"/>
      <c r="T2" s="100"/>
      <c r="U2" s="100"/>
      <c r="V2" s="100"/>
      <c r="W2" s="100"/>
      <c r="X2" s="100"/>
      <c r="Y2" s="100"/>
      <c r="Z2" s="100"/>
      <c r="AA2" s="100"/>
      <c r="AB2" s="100"/>
      <c r="AC2" s="100"/>
      <c r="AD2" s="100"/>
      <c r="AE2" s="100"/>
      <c r="AF2" s="100"/>
      <c r="AG2" s="100"/>
      <c r="AH2" s="100"/>
      <c r="AI2" s="100"/>
      <c r="AJ2" s="100"/>
      <c r="AK2" s="100"/>
    </row>
    <row r="3" spans="1:37" s="100" customFormat="1" ht="15" customHeight="1">
      <c r="A3" s="474" t="s">
        <v>501</v>
      </c>
      <c r="B3" s="102"/>
      <c r="C3" s="102"/>
      <c r="D3" s="102"/>
      <c r="E3" s="102"/>
      <c r="F3" s="102"/>
      <c r="G3" s="102"/>
      <c r="H3" s="102"/>
      <c r="I3" s="102"/>
      <c r="J3" s="102"/>
      <c r="K3" s="102"/>
      <c r="L3" s="102"/>
      <c r="M3" s="102"/>
      <c r="N3" s="98"/>
      <c r="O3" s="98"/>
      <c r="P3" s="98"/>
      <c r="Q3" s="98"/>
      <c r="R3" s="98"/>
      <c r="S3" s="98"/>
      <c r="T3" s="98"/>
      <c r="U3" s="98"/>
      <c r="V3" s="98"/>
      <c r="W3" s="98"/>
      <c r="X3" s="98"/>
      <c r="Y3" s="98"/>
      <c r="Z3" s="98"/>
      <c r="AA3" s="98"/>
      <c r="AB3" s="98"/>
      <c r="AC3" s="98"/>
      <c r="AD3" s="98"/>
      <c r="AE3" s="98"/>
      <c r="AF3" s="98"/>
      <c r="AG3" s="98"/>
      <c r="AH3" s="98"/>
      <c r="AI3" s="98"/>
      <c r="AJ3" s="98"/>
      <c r="AK3" s="98"/>
    </row>
    <row r="4" spans="1:13" ht="15" customHeight="1">
      <c r="A4" s="103" t="str">
        <f>'Set-up'!A10</f>
        <v>ПИН</v>
      </c>
      <c r="B4" s="104">
        <f>'Set-up'!B10</f>
        <v>56482</v>
      </c>
      <c r="C4" s="104">
        <f>'Set-up'!C10</f>
        <v>77022</v>
      </c>
      <c r="D4" s="105">
        <f>'Set-up'!H10</f>
        <v>0.07</v>
      </c>
      <c r="E4" s="105">
        <f>('Set-up'!H10+'Set-up'!I10)/2</f>
        <v>0.08</v>
      </c>
      <c r="F4" s="105">
        <f>'Set-up'!I10</f>
        <v>0.09</v>
      </c>
      <c r="G4" s="106">
        <f aca="true" t="shared" si="0" ref="G4:G9">B4*D4</f>
        <v>3953.7400000000002</v>
      </c>
      <c r="H4" s="106">
        <f aca="true" t="shared" si="1" ref="H4:H9">IF(E4="","",B4*E4)</f>
        <v>4518.56</v>
      </c>
      <c r="I4" s="106">
        <f aca="true" t="shared" si="2" ref="I4:I9">B4*F4</f>
        <v>5083.38</v>
      </c>
      <c r="J4" s="106">
        <f aca="true" t="shared" si="3" ref="J4:J9">C4*D4</f>
        <v>5391.540000000001</v>
      </c>
      <c r="K4" s="106">
        <f aca="true" t="shared" si="4" ref="K4:K9">IF(E4="","",C4*E4)</f>
        <v>6161.76</v>
      </c>
      <c r="L4" s="106">
        <f aca="true" t="shared" si="5" ref="L4:L9">C4*F4</f>
        <v>6931.98</v>
      </c>
      <c r="M4" s="106">
        <f>AVERAGE(G4:L4)</f>
        <v>5340.160000000001</v>
      </c>
    </row>
    <row r="5" spans="1:14" ht="15" customHeight="1">
      <c r="A5" s="103" t="str">
        <f>'Set-up'!A11</f>
        <v>МСМ</v>
      </c>
      <c r="B5" s="104">
        <f>'Set-up'!B11</f>
        <v>184852</v>
      </c>
      <c r="C5" s="104">
        <f>'Set-up'!C11</f>
        <v>277278</v>
      </c>
      <c r="D5" s="105">
        <f>'Set-up'!H11</f>
        <v>0.12</v>
      </c>
      <c r="E5" s="105">
        <f>('Set-up'!H11+'Set-up'!I11)/2</f>
        <v>0.13</v>
      </c>
      <c r="F5" s="105">
        <f>'Set-up'!I11</f>
        <v>0.14</v>
      </c>
      <c r="G5" s="106">
        <f t="shared" si="0"/>
        <v>22182.239999999998</v>
      </c>
      <c r="H5" s="106">
        <f t="shared" si="1"/>
        <v>24030.760000000002</v>
      </c>
      <c r="I5" s="106">
        <f t="shared" si="2"/>
        <v>25879.280000000002</v>
      </c>
      <c r="J5" s="106">
        <f t="shared" si="3"/>
        <v>33273.36</v>
      </c>
      <c r="K5" s="106">
        <f t="shared" si="4"/>
        <v>36046.14</v>
      </c>
      <c r="L5" s="106">
        <f t="shared" si="5"/>
        <v>38818.920000000006</v>
      </c>
      <c r="M5" s="106">
        <f>AVERAGE(G5:L5)</f>
        <v>30038.45</v>
      </c>
      <c r="N5" s="108"/>
    </row>
    <row r="6" spans="1:13" ht="15" customHeight="1">
      <c r="A6" s="103" t="str">
        <f>'Set-up'!A12</f>
        <v>РСБ</v>
      </c>
      <c r="B6" s="104">
        <f>'Set-up'!B12</f>
        <v>57703</v>
      </c>
      <c r="C6" s="104">
        <f>'Set-up'!C12</f>
        <v>86606</v>
      </c>
      <c r="D6" s="105">
        <f>'Set-up'!H12</f>
        <v>0.08</v>
      </c>
      <c r="E6" s="105">
        <f>('Set-up'!H12+'Set-up'!I12)/2</f>
        <v>0.1</v>
      </c>
      <c r="F6" s="105">
        <f>'Set-up'!I12</f>
        <v>0.12</v>
      </c>
      <c r="G6" s="106">
        <f t="shared" si="0"/>
        <v>4616.24</v>
      </c>
      <c r="H6" s="106">
        <f t="shared" si="1"/>
        <v>5770.3</v>
      </c>
      <c r="I6" s="106">
        <f t="shared" si="2"/>
        <v>6924.36</v>
      </c>
      <c r="J6" s="106">
        <f t="shared" si="3"/>
        <v>6928.4800000000005</v>
      </c>
      <c r="K6" s="106">
        <f t="shared" si="4"/>
        <v>8660.6</v>
      </c>
      <c r="L6" s="106">
        <f t="shared" si="5"/>
        <v>10392.72</v>
      </c>
      <c r="M6" s="106">
        <f>AVERAGE(G6:L6)</f>
        <v>7215.450000000001</v>
      </c>
    </row>
    <row r="7" spans="1:13" ht="15" customHeight="1">
      <c r="A7" s="103" t="str">
        <f>'Set-up'!A13</f>
        <v>Клиенты РСБ</v>
      </c>
      <c r="B7" s="104">
        <f>'Set-up'!B13</f>
        <v>700000</v>
      </c>
      <c r="C7" s="104">
        <f>'Set-up'!C13</f>
        <v>950000</v>
      </c>
      <c r="D7" s="105">
        <f>'Set-up'!H13</f>
        <v>0.01</v>
      </c>
      <c r="E7" s="105">
        <f>('Set-up'!H13+'Set-up'!I13)/2</f>
        <v>0.025</v>
      </c>
      <c r="F7" s="105">
        <f>'Set-up'!I13</f>
        <v>0.04</v>
      </c>
      <c r="G7" s="106">
        <f t="shared" si="0"/>
        <v>7000</v>
      </c>
      <c r="H7" s="106">
        <f t="shared" si="1"/>
        <v>17500</v>
      </c>
      <c r="I7" s="106">
        <f t="shared" si="2"/>
        <v>28000</v>
      </c>
      <c r="J7" s="106">
        <f t="shared" si="3"/>
        <v>9500</v>
      </c>
      <c r="K7" s="106">
        <f t="shared" si="4"/>
        <v>23750</v>
      </c>
      <c r="L7" s="106">
        <f t="shared" si="5"/>
        <v>38000</v>
      </c>
      <c r="M7" s="106">
        <f>AVERAGE(G7,I7:J7,L7)</f>
        <v>20625</v>
      </c>
    </row>
    <row r="8" spans="1:13" ht="15" customHeight="1">
      <c r="A8" s="103" t="str">
        <f>'Set-up'!A14</f>
        <v>Дополнительная ГБВР1</v>
      </c>
      <c r="B8" s="104">
        <f>'Set-up'!B14</f>
        <v>0</v>
      </c>
      <c r="C8" s="104">
        <f>'Set-up'!C14</f>
        <v>0</v>
      </c>
      <c r="D8" s="105">
        <f>'Set-up'!H14</f>
        <v>0</v>
      </c>
      <c r="E8" s="105">
        <f>('Set-up'!H14+'Set-up'!I14)/2</f>
        <v>0</v>
      </c>
      <c r="F8" s="105">
        <f>'Set-up'!I14</f>
        <v>0</v>
      </c>
      <c r="G8" s="106">
        <f t="shared" si="0"/>
        <v>0</v>
      </c>
      <c r="H8" s="106">
        <f t="shared" si="1"/>
        <v>0</v>
      </c>
      <c r="I8" s="106">
        <f t="shared" si="2"/>
        <v>0</v>
      </c>
      <c r="J8" s="106">
        <f t="shared" si="3"/>
        <v>0</v>
      </c>
      <c r="K8" s="106">
        <f t="shared" si="4"/>
        <v>0</v>
      </c>
      <c r="L8" s="106">
        <f t="shared" si="5"/>
        <v>0</v>
      </c>
      <c r="M8" s="106">
        <f>AVERAGE(G8,I8:J8,L8)</f>
        <v>0</v>
      </c>
    </row>
    <row r="9" spans="1:13" ht="15" customHeight="1">
      <c r="A9" s="103" t="str">
        <f>'Set-up'!A15</f>
        <v>Дополнительная ГБВР2</v>
      </c>
      <c r="B9" s="104">
        <f>'Set-up'!B15</f>
        <v>0</v>
      </c>
      <c r="C9" s="104">
        <f>'Set-up'!C15</f>
        <v>0</v>
      </c>
      <c r="D9" s="105">
        <f>'Set-up'!H15</f>
        <v>0</v>
      </c>
      <c r="E9" s="105">
        <f>('Set-up'!H15+'Set-up'!I15)/2</f>
        <v>0</v>
      </c>
      <c r="F9" s="105">
        <f>'Set-up'!I15</f>
        <v>0</v>
      </c>
      <c r="G9" s="106">
        <f t="shared" si="0"/>
        <v>0</v>
      </c>
      <c r="H9" s="106">
        <f t="shared" si="1"/>
        <v>0</v>
      </c>
      <c r="I9" s="106">
        <f t="shared" si="2"/>
        <v>0</v>
      </c>
      <c r="J9" s="106">
        <f t="shared" si="3"/>
        <v>0</v>
      </c>
      <c r="K9" s="106">
        <f t="shared" si="4"/>
        <v>0</v>
      </c>
      <c r="L9" s="106">
        <f t="shared" si="5"/>
        <v>0</v>
      </c>
      <c r="M9" s="106">
        <f>AVERAGE(G9,I9:J9,L9)</f>
        <v>0</v>
      </c>
    </row>
    <row r="10" spans="1:13" ht="15" customHeight="1">
      <c r="A10" s="103" t="str">
        <f>'Set-up'!A16</f>
        <v>Дополнительная ГБВР3</v>
      </c>
      <c r="B10" s="104">
        <f>'Set-up'!B16</f>
        <v>0</v>
      </c>
      <c r="C10" s="104">
        <f>'Set-up'!C16</f>
        <v>0</v>
      </c>
      <c r="D10" s="105">
        <f>'Set-up'!H16</f>
        <v>0</v>
      </c>
      <c r="E10" s="105">
        <f>('Set-up'!H16+'Set-up'!I16)/2</f>
        <v>0</v>
      </c>
      <c r="F10" s="105">
        <f>'Set-up'!I16</f>
        <v>0</v>
      </c>
      <c r="G10" s="106">
        <f>B10*D10</f>
        <v>0</v>
      </c>
      <c r="H10" s="106">
        <f>IF(E10="","",B10*E10)</f>
        <v>0</v>
      </c>
      <c r="I10" s="106">
        <f>B10*F10</f>
        <v>0</v>
      </c>
      <c r="J10" s="106">
        <f>C10*D10</f>
        <v>0</v>
      </c>
      <c r="K10" s="106">
        <f>IF(E10="","",C10*E10)</f>
        <v>0</v>
      </c>
      <c r="L10" s="106">
        <f>C10*F10</f>
        <v>0</v>
      </c>
      <c r="M10" s="106">
        <f>AVERAGE(G10,I10:J10,L10)</f>
        <v>0</v>
      </c>
    </row>
    <row r="11" spans="1:13" ht="15" customHeight="1">
      <c r="A11" s="103" t="str">
        <f>'Set-up'!A17</f>
        <v>Дополнительная ГБВР4</v>
      </c>
      <c r="B11" s="104">
        <f>'Set-up'!B17</f>
        <v>0</v>
      </c>
      <c r="C11" s="104">
        <f>'Set-up'!C17</f>
        <v>0</v>
      </c>
      <c r="D11" s="105">
        <f>'Set-up'!H17</f>
        <v>0</v>
      </c>
      <c r="E11" s="105">
        <f>('Set-up'!H17+'Set-up'!I17)/2</f>
        <v>0</v>
      </c>
      <c r="F11" s="105">
        <f>'Set-up'!I17</f>
        <v>0</v>
      </c>
      <c r="G11" s="106">
        <f>B11*D11</f>
        <v>0</v>
      </c>
      <c r="H11" s="106">
        <f>IF(E11="","",B11*E11)</f>
        <v>0</v>
      </c>
      <c r="I11" s="106">
        <f>B11*F11</f>
        <v>0</v>
      </c>
      <c r="J11" s="106">
        <f>C11*D11</f>
        <v>0</v>
      </c>
      <c r="K11" s="106">
        <f>IF(E11="","",C11*E11)</f>
        <v>0</v>
      </c>
      <c r="L11" s="106">
        <f>C11*F11</f>
        <v>0</v>
      </c>
      <c r="M11" s="106">
        <f>AVERAGE(G11,I11:J11,L11)</f>
        <v>0</v>
      </c>
    </row>
    <row r="12" spans="1:13" ht="15" customHeight="1">
      <c r="A12" s="475" t="s">
        <v>502</v>
      </c>
      <c r="B12" s="82">
        <f>SUM(B4:B11)</f>
        <v>999037</v>
      </c>
      <c r="C12" s="82">
        <f>SUM(C4:C11)</f>
        <v>1390906</v>
      </c>
      <c r="D12" s="82"/>
      <c r="E12" s="110"/>
      <c r="F12" s="82"/>
      <c r="G12" s="82"/>
      <c r="H12" s="82"/>
      <c r="I12" s="82"/>
      <c r="J12" s="82"/>
      <c r="K12" s="82"/>
      <c r="L12" s="82"/>
      <c r="M12" s="82">
        <f>SUM(M4:M11)</f>
        <v>63219.06</v>
      </c>
    </row>
    <row r="13" spans="1:13" ht="15" customHeight="1">
      <c r="A13" s="101"/>
      <c r="B13" s="114"/>
      <c r="C13" s="114"/>
      <c r="D13" s="114"/>
      <c r="E13" s="134"/>
      <c r="F13" s="114"/>
      <c r="G13" s="114"/>
      <c r="H13" s="114"/>
      <c r="I13" s="114"/>
      <c r="J13" s="114"/>
      <c r="K13" s="114"/>
      <c r="L13" s="114"/>
      <c r="M13" s="114"/>
    </row>
    <row r="14" spans="1:13" ht="15" customHeight="1">
      <c r="A14" s="474" t="s">
        <v>499</v>
      </c>
      <c r="B14" s="107"/>
      <c r="C14" s="107"/>
      <c r="D14" s="107"/>
      <c r="F14" s="107"/>
      <c r="G14" s="107"/>
      <c r="H14" s="107"/>
      <c r="I14" s="107"/>
      <c r="J14" s="107"/>
      <c r="K14" s="107"/>
      <c r="L14" s="107"/>
      <c r="M14" s="107"/>
    </row>
    <row r="15" spans="1:13" ht="15" customHeight="1">
      <c r="A15" s="112" t="s">
        <v>500</v>
      </c>
      <c r="B15" s="104"/>
      <c r="C15" s="104"/>
      <c r="D15" s="105"/>
      <c r="E15" s="105"/>
      <c r="F15" s="105"/>
      <c r="G15" s="106"/>
      <c r="H15" s="106"/>
      <c r="I15" s="106"/>
      <c r="J15" s="106"/>
      <c r="K15" s="106"/>
      <c r="L15" s="106"/>
      <c r="M15" s="107"/>
    </row>
    <row r="16" spans="1:13" ht="15" customHeight="1">
      <c r="A16" s="113" t="str">
        <f>'Set-up'!A22</f>
        <v>Партнеры ПИН</v>
      </c>
      <c r="B16" s="104">
        <f>'Set-up'!B22</f>
        <v>20000</v>
      </c>
      <c r="C16" s="104">
        <f>'Set-up'!C22</f>
        <v>40000</v>
      </c>
      <c r="D16" s="105">
        <f>'Set-up'!H22</f>
        <v>0.01</v>
      </c>
      <c r="E16" s="105">
        <f>('Set-up'!H22+'Set-up'!I22)/2</f>
        <v>0.015</v>
      </c>
      <c r="F16" s="105">
        <f>'Set-up'!I22</f>
        <v>0.02</v>
      </c>
      <c r="G16" s="106">
        <f aca="true" t="shared" si="6" ref="G16:G21">B16*D16</f>
        <v>200</v>
      </c>
      <c r="H16" s="106">
        <f aca="true" t="shared" si="7" ref="H16:H21">IF(E16="","",B16*E16)</f>
        <v>300</v>
      </c>
      <c r="I16" s="106">
        <f aca="true" t="shared" si="8" ref="I16:I21">B16*F16</f>
        <v>400</v>
      </c>
      <c r="J16" s="106">
        <f aca="true" t="shared" si="9" ref="J16:J21">C16*D16</f>
        <v>400</v>
      </c>
      <c r="K16" s="106">
        <f aca="true" t="shared" si="10" ref="K16:K21">IF(E16="","",C16*E16)</f>
        <v>600</v>
      </c>
      <c r="L16" s="106">
        <f aca="true" t="shared" si="11" ref="L16:L21">C16*F16</f>
        <v>800</v>
      </c>
      <c r="M16" s="106">
        <f aca="true" t="shared" si="12" ref="M16:M26">AVERAGE(G16,I16:J16,L16)</f>
        <v>450</v>
      </c>
    </row>
    <row r="17" spans="1:13" ht="15" customHeight="1">
      <c r="A17" s="113" t="str">
        <f>'Set-up'!A23</f>
        <v>Женщины-партнеры МСМ</v>
      </c>
      <c r="B17" s="104">
        <f>'Set-up'!B23</f>
        <v>50000</v>
      </c>
      <c r="C17" s="104">
        <f>'Set-up'!C23</f>
        <v>80000</v>
      </c>
      <c r="D17" s="105">
        <f>'Set-up'!H23</f>
        <v>0.02</v>
      </c>
      <c r="E17" s="105">
        <f>('Set-up'!H23+'Set-up'!I23)/2</f>
        <v>0.025</v>
      </c>
      <c r="F17" s="105">
        <f>'Set-up'!I23</f>
        <v>0.03</v>
      </c>
      <c r="G17" s="106">
        <f t="shared" si="6"/>
        <v>1000</v>
      </c>
      <c r="H17" s="106">
        <f t="shared" si="7"/>
        <v>1250</v>
      </c>
      <c r="I17" s="106">
        <f t="shared" si="8"/>
        <v>1500</v>
      </c>
      <c r="J17" s="106">
        <f t="shared" si="9"/>
        <v>1600</v>
      </c>
      <c r="K17" s="106">
        <f t="shared" si="10"/>
        <v>2000</v>
      </c>
      <c r="L17" s="106">
        <f t="shared" si="11"/>
        <v>2400</v>
      </c>
      <c r="M17" s="106">
        <f t="shared" si="12"/>
        <v>1625</v>
      </c>
    </row>
    <row r="18" spans="1:13" ht="15" customHeight="1">
      <c r="A18" s="113" t="str">
        <f>'Set-up'!A24</f>
        <v>Партнеры клиентов РСБ</v>
      </c>
      <c r="B18" s="104">
        <f>'Set-up'!B24</f>
        <v>450000</v>
      </c>
      <c r="C18" s="104">
        <f>'Set-up'!C24</f>
        <v>600000</v>
      </c>
      <c r="D18" s="105">
        <f>'Set-up'!H24</f>
        <v>0.002</v>
      </c>
      <c r="E18" s="105">
        <f>('Set-up'!H24+'Set-up'!I24)/2</f>
        <v>0.0035</v>
      </c>
      <c r="F18" s="105">
        <f>'Set-up'!I24</f>
        <v>0.005</v>
      </c>
      <c r="G18" s="106">
        <f t="shared" si="6"/>
        <v>900</v>
      </c>
      <c r="H18" s="106">
        <f t="shared" si="7"/>
        <v>1575</v>
      </c>
      <c r="I18" s="106">
        <f t="shared" si="8"/>
        <v>2250</v>
      </c>
      <c r="J18" s="106">
        <f t="shared" si="9"/>
        <v>1200</v>
      </c>
      <c r="K18" s="106">
        <f t="shared" si="10"/>
        <v>2100</v>
      </c>
      <c r="L18" s="106">
        <f t="shared" si="11"/>
        <v>3000</v>
      </c>
      <c r="M18" s="106">
        <f t="shared" si="12"/>
        <v>1837.5</v>
      </c>
    </row>
    <row r="19" spans="1:13" ht="15" customHeight="1">
      <c r="A19" s="113" t="str">
        <f>'Set-up'!A25</f>
        <v>Дополнительная ГБНР1</v>
      </c>
      <c r="B19" s="104">
        <f>'Set-up'!B25</f>
        <v>0</v>
      </c>
      <c r="C19" s="104">
        <f>'Set-up'!C25</f>
        <v>0</v>
      </c>
      <c r="D19" s="105">
        <f>'Set-up'!H25</f>
        <v>0</v>
      </c>
      <c r="E19" s="105">
        <f>('Set-up'!H25+'Set-up'!I25)/2</f>
        <v>0</v>
      </c>
      <c r="F19" s="105">
        <f>'Set-up'!I25</f>
        <v>0</v>
      </c>
      <c r="G19" s="106">
        <f t="shared" si="6"/>
        <v>0</v>
      </c>
      <c r="H19" s="106">
        <f t="shared" si="7"/>
        <v>0</v>
      </c>
      <c r="I19" s="106">
        <f t="shared" si="8"/>
        <v>0</v>
      </c>
      <c r="J19" s="106">
        <f t="shared" si="9"/>
        <v>0</v>
      </c>
      <c r="K19" s="106">
        <f t="shared" si="10"/>
        <v>0</v>
      </c>
      <c r="L19" s="106">
        <f t="shared" si="11"/>
        <v>0</v>
      </c>
      <c r="M19" s="106">
        <f t="shared" si="12"/>
        <v>0</v>
      </c>
    </row>
    <row r="20" spans="1:13" ht="15" customHeight="1">
      <c r="A20" s="113" t="str">
        <f>'Set-up'!A26</f>
        <v>Дополнительная ГБНР2</v>
      </c>
      <c r="B20" s="104">
        <f>'Set-up'!B26</f>
        <v>0</v>
      </c>
      <c r="C20" s="104">
        <f>'Set-up'!C26</f>
        <v>0</v>
      </c>
      <c r="D20" s="105">
        <f>'Set-up'!H26</f>
        <v>0</v>
      </c>
      <c r="E20" s="105">
        <f>('Set-up'!H26+'Set-up'!I26)/2</f>
        <v>0</v>
      </c>
      <c r="F20" s="105">
        <f>'Set-up'!I26</f>
        <v>0</v>
      </c>
      <c r="G20" s="106">
        <f t="shared" si="6"/>
        <v>0</v>
      </c>
      <c r="H20" s="106">
        <f t="shared" si="7"/>
        <v>0</v>
      </c>
      <c r="I20" s="106">
        <f t="shared" si="8"/>
        <v>0</v>
      </c>
      <c r="J20" s="106">
        <f t="shared" si="9"/>
        <v>0</v>
      </c>
      <c r="K20" s="106">
        <f t="shared" si="10"/>
        <v>0</v>
      </c>
      <c r="L20" s="106">
        <f t="shared" si="11"/>
        <v>0</v>
      </c>
      <c r="M20" s="106">
        <f>AVERAGE(G20,I20:J20,L20)</f>
        <v>0</v>
      </c>
    </row>
    <row r="21" spans="1:13" ht="15" customHeight="1">
      <c r="A21" s="113" t="str">
        <f>'Set-up'!A27</f>
        <v>Дополнительная ГБНР3</v>
      </c>
      <c r="B21" s="104">
        <f>'Set-up'!B27</f>
        <v>0</v>
      </c>
      <c r="C21" s="104">
        <f>'Set-up'!C27</f>
        <v>0</v>
      </c>
      <c r="D21" s="105">
        <f>'Set-up'!H27</f>
        <v>0</v>
      </c>
      <c r="E21" s="105">
        <f>('Set-up'!H27+'Set-up'!I27)/2</f>
        <v>0</v>
      </c>
      <c r="F21" s="105">
        <f>'Set-up'!I27</f>
        <v>0</v>
      </c>
      <c r="G21" s="106">
        <f t="shared" si="6"/>
        <v>0</v>
      </c>
      <c r="H21" s="106">
        <f t="shared" si="7"/>
        <v>0</v>
      </c>
      <c r="I21" s="106">
        <f t="shared" si="8"/>
        <v>0</v>
      </c>
      <c r="J21" s="106">
        <f t="shared" si="9"/>
        <v>0</v>
      </c>
      <c r="K21" s="106">
        <f t="shared" si="10"/>
        <v>0</v>
      </c>
      <c r="L21" s="106">
        <f t="shared" si="11"/>
        <v>0</v>
      </c>
      <c r="M21" s="106">
        <f t="shared" si="12"/>
        <v>0</v>
      </c>
    </row>
    <row r="22" spans="1:13" ht="15" customHeight="1">
      <c r="A22" s="112" t="s">
        <v>497</v>
      </c>
      <c r="B22" s="199">
        <f>SUM(B16:B21)</f>
        <v>520000</v>
      </c>
      <c r="C22" s="199">
        <f>SUM(C16:C21)</f>
        <v>720000</v>
      </c>
      <c r="D22" s="105"/>
      <c r="E22" s="105"/>
      <c r="F22" s="105"/>
      <c r="G22" s="106"/>
      <c r="H22" s="106"/>
      <c r="I22" s="106"/>
      <c r="J22" s="106"/>
      <c r="K22" s="106"/>
      <c r="L22" s="106"/>
      <c r="M22" s="199">
        <f>SUM(M16:M21)</f>
        <v>3912.5</v>
      </c>
    </row>
    <row r="23" spans="1:13" ht="15" customHeight="1">
      <c r="A23" s="113"/>
      <c r="B23" s="104"/>
      <c r="C23" s="104"/>
      <c r="D23" s="105"/>
      <c r="E23" s="105"/>
      <c r="F23" s="105"/>
      <c r="G23" s="106"/>
      <c r="H23" s="106"/>
      <c r="I23" s="106"/>
      <c r="J23" s="106"/>
      <c r="K23" s="106"/>
      <c r="L23" s="106"/>
      <c r="M23" s="107"/>
    </row>
    <row r="24" spans="1:13" ht="15" customHeight="1">
      <c r="A24" s="112" t="s">
        <v>498</v>
      </c>
      <c r="B24" s="104"/>
      <c r="C24" s="104"/>
      <c r="D24" s="105"/>
      <c r="E24" s="105"/>
      <c r="F24" s="105"/>
      <c r="G24" s="106"/>
      <c r="H24" s="106"/>
      <c r="I24" s="106"/>
      <c r="J24" s="106"/>
      <c r="K24" s="106"/>
      <c r="L24" s="106"/>
      <c r="M24" s="107"/>
    </row>
    <row r="25" spans="1:13" ht="15" customHeight="1">
      <c r="A25" s="113" t="str">
        <f>'Set-up'!A30</f>
        <v>Городские женщины ГНР</v>
      </c>
      <c r="B25" s="106">
        <f>'Set-up'!B30</f>
        <v>8470267.74</v>
      </c>
      <c r="C25" s="106">
        <f>'Set-up'!C30</f>
        <v>8525422.170000002</v>
      </c>
      <c r="D25" s="105">
        <f>'Set-up'!H30</f>
        <v>0.0005</v>
      </c>
      <c r="E25" s="105">
        <f>('Set-up'!H30+'Set-up'!I30)/2</f>
        <v>0.00075</v>
      </c>
      <c r="F25" s="105">
        <f>'Set-up'!I30</f>
        <v>0.001</v>
      </c>
      <c r="G25" s="106">
        <f>B25*D25</f>
        <v>4235.133870000001</v>
      </c>
      <c r="H25" s="106">
        <f>IF(E25="","",B25*E25)</f>
        <v>6352.700805</v>
      </c>
      <c r="I25" s="106">
        <f>B25*F25</f>
        <v>8470.267740000001</v>
      </c>
      <c r="J25" s="106">
        <f>C25*D25</f>
        <v>4262.711085000001</v>
      </c>
      <c r="K25" s="106">
        <f>IF(E25="","",C25*E25)</f>
        <v>6394.066627500001</v>
      </c>
      <c r="L25" s="106">
        <f>C25*F25</f>
        <v>8525.422170000002</v>
      </c>
      <c r="M25" s="106">
        <f t="shared" si="12"/>
        <v>6373.383716250001</v>
      </c>
    </row>
    <row r="26" spans="1:13" ht="15" customHeight="1">
      <c r="A26" s="113" t="str">
        <f>'Set-up'!A31</f>
        <v>Сельские женщины ГНР</v>
      </c>
      <c r="B26" s="106">
        <f>'Set-up'!B31</f>
        <v>941140.8599999998</v>
      </c>
      <c r="C26" s="106">
        <f>'Set-up'!C31</f>
        <v>947269.1299999999</v>
      </c>
      <c r="D26" s="105">
        <f>'Set-up'!H31</f>
        <v>1E-05</v>
      </c>
      <c r="E26" s="105">
        <f>('Set-up'!H31+'Set-up'!I31)/2</f>
        <v>0.000255</v>
      </c>
      <c r="F26" s="105">
        <f>'Set-up'!I31</f>
        <v>0.0005</v>
      </c>
      <c r="G26" s="106">
        <f>B26*D26</f>
        <v>9.411408599999998</v>
      </c>
      <c r="H26" s="106">
        <f>IF(E26="","",B26*E26)</f>
        <v>239.99091929999994</v>
      </c>
      <c r="I26" s="106">
        <f>B26*F26</f>
        <v>470.5704299999999</v>
      </c>
      <c r="J26" s="106">
        <f>C26*D26</f>
        <v>9.4726913</v>
      </c>
      <c r="K26" s="106">
        <f>IF(E26="","",C26*E26)</f>
        <v>241.55362814999998</v>
      </c>
      <c r="L26" s="106">
        <f>C26*F26</f>
        <v>473.63456499999995</v>
      </c>
      <c r="M26" s="106">
        <f t="shared" si="12"/>
        <v>240.77227372499996</v>
      </c>
    </row>
    <row r="27" spans="1:13" ht="15" customHeight="1">
      <c r="A27" s="112" t="s">
        <v>493</v>
      </c>
      <c r="B27" s="107">
        <f>SUM(B25:B26)</f>
        <v>9411408.6</v>
      </c>
      <c r="C27" s="107">
        <f>SUM(C25:C26)</f>
        <v>9472691.3</v>
      </c>
      <c r="D27" s="105"/>
      <c r="E27" s="105"/>
      <c r="F27" s="105"/>
      <c r="G27" s="106"/>
      <c r="H27" s="106"/>
      <c r="I27" s="106"/>
      <c r="J27" s="106"/>
      <c r="K27" s="106"/>
      <c r="L27" s="106"/>
      <c r="M27" s="107">
        <f>SUM(M25:M26)</f>
        <v>6614.155989975001</v>
      </c>
    </row>
    <row r="28" spans="1:13" ht="15" customHeight="1">
      <c r="A28" s="113"/>
      <c r="B28" s="106"/>
      <c r="C28" s="106"/>
      <c r="D28" s="105"/>
      <c r="E28" s="105"/>
      <c r="F28" s="105"/>
      <c r="G28" s="106"/>
      <c r="H28" s="106"/>
      <c r="I28" s="106"/>
      <c r="J28" s="106"/>
      <c r="K28" s="106"/>
      <c r="L28" s="106"/>
      <c r="M28" s="107"/>
    </row>
    <row r="29" spans="1:14" ht="15.75" customHeight="1">
      <c r="A29" s="109" t="s">
        <v>494</v>
      </c>
      <c r="B29" s="82"/>
      <c r="C29" s="82"/>
      <c r="D29" s="82"/>
      <c r="E29" s="110"/>
      <c r="F29" s="82"/>
      <c r="G29" s="82"/>
      <c r="H29" s="82"/>
      <c r="I29" s="82"/>
      <c r="J29" s="82"/>
      <c r="K29" s="82"/>
      <c r="L29" s="200" t="str">
        <f>IF('Set-up'!G19&lt;&gt;"","Selected Partners",IF('Set-up'!G20&lt;&gt;"","Selected ANC","No selection"))</f>
        <v>Selected Partners</v>
      </c>
      <c r="M29" s="82">
        <f>IF('Set-up'!G19&lt;&gt;"",M22,IF('Set-up'!G20&lt;&gt;"",M27,"0"))</f>
        <v>3912.5</v>
      </c>
      <c r="N29" s="114"/>
    </row>
    <row r="30" spans="1:13" ht="15" customHeight="1">
      <c r="A30" s="115"/>
      <c r="B30" s="106"/>
      <c r="C30" s="106"/>
      <c r="D30" s="106"/>
      <c r="E30" s="106"/>
      <c r="F30" s="116"/>
      <c r="G30" s="116"/>
      <c r="H30" s="116"/>
      <c r="I30" s="117"/>
      <c r="J30" s="117"/>
      <c r="K30" s="117"/>
      <c r="L30" s="117"/>
      <c r="M30" s="118"/>
    </row>
    <row r="31" spans="1:13" ht="24.75" customHeight="1">
      <c r="A31" s="101" t="str">
        <f>IF(B25="0","No Risk Population","Население вне групп риска - нет данных")</f>
        <v>Население вне групп риска - нет данных</v>
      </c>
      <c r="B31" s="201">
        <f>IF('Set-up'!$G$19&lt;&gt;"",'Set-up'!$B$6-(C12+C22),'Set-up'!$B$6-(C12+C27))</f>
        <v>17134824</v>
      </c>
      <c r="C31" s="201">
        <f>IF('Set-up'!$G$19&lt;&gt;"",'Set-up'!$B$6-(B12+B22),'Set-up'!$B$6-(B12+B27))</f>
        <v>17726693</v>
      </c>
      <c r="D31" s="105"/>
      <c r="E31" s="105"/>
      <c r="F31" s="105"/>
      <c r="G31" s="106"/>
      <c r="H31" s="106"/>
      <c r="I31" s="106"/>
      <c r="J31" s="106"/>
      <c r="K31" s="106"/>
      <c r="L31" s="106"/>
      <c r="M31" s="107"/>
    </row>
    <row r="32" spans="1:13" ht="15" customHeight="1" thickBot="1">
      <c r="A32" s="119"/>
      <c r="B32" s="120"/>
      <c r="C32" s="120"/>
      <c r="D32" s="120"/>
      <c r="E32" s="120"/>
      <c r="F32" s="120"/>
      <c r="G32" s="121"/>
      <c r="H32" s="121"/>
      <c r="I32" s="122"/>
      <c r="J32" s="121"/>
      <c r="K32" s="121"/>
      <c r="L32" s="122"/>
      <c r="M32" s="120"/>
    </row>
    <row r="33" spans="1:13" ht="15" customHeight="1">
      <c r="A33" s="101" t="s">
        <v>495</v>
      </c>
      <c r="B33" s="201">
        <f>IF('Set-up'!G19&lt;&gt;"",SUM($B$12,$B$22,$C$31),$B$12+$B$27+$C$31)</f>
        <v>19245730</v>
      </c>
      <c r="C33" s="201">
        <f>IF('Set-up'!G19&lt;&gt;"",SUM($C$12,$C$22,$B$31),$C$12+$C$27+$B$31)</f>
        <v>19245730</v>
      </c>
      <c r="D33" s="107"/>
      <c r="E33" s="107"/>
      <c r="F33" s="107"/>
      <c r="G33" s="107"/>
      <c r="H33" s="107"/>
      <c r="I33" s="107"/>
      <c r="J33" s="107"/>
      <c r="K33" s="107"/>
      <c r="L33" s="107"/>
      <c r="M33" s="107">
        <f>M12+M29</f>
        <v>67131.56</v>
      </c>
    </row>
    <row r="34" spans="1:9" ht="15" customHeight="1">
      <c r="A34" s="473"/>
      <c r="B34" s="123"/>
      <c r="C34" s="124"/>
      <c r="D34" s="124"/>
      <c r="I34" s="125"/>
    </row>
    <row r="35" spans="1:4" ht="15" customHeight="1">
      <c r="A35" s="101" t="s">
        <v>347</v>
      </c>
      <c r="B35" s="126">
        <f>Base_year</f>
        <v>2002</v>
      </c>
      <c r="C35" s="124"/>
      <c r="D35" s="123"/>
    </row>
    <row r="36" spans="1:13" ht="15" customHeight="1">
      <c r="A36" s="101" t="s">
        <v>496</v>
      </c>
      <c r="B36" s="127">
        <f>'Set-up'!B6</f>
        <v>19245730</v>
      </c>
      <c r="C36" s="124"/>
      <c r="D36" s="124"/>
      <c r="M36" s="128"/>
    </row>
    <row r="37" spans="1:4" ht="13.5" customHeight="1">
      <c r="A37" s="129"/>
      <c r="B37" s="124"/>
      <c r="C37" s="130"/>
      <c r="D37" s="107"/>
    </row>
    <row r="38" spans="1:4" ht="12" customHeight="1">
      <c r="A38" s="131"/>
      <c r="B38" s="124"/>
      <c r="C38" s="124"/>
      <c r="D38" s="106"/>
    </row>
    <row r="39" spans="1:4" ht="12" customHeight="1">
      <c r="A39" s="131"/>
      <c r="B39" s="124"/>
      <c r="C39" s="124"/>
      <c r="D39" s="106"/>
    </row>
    <row r="40" spans="1:4" ht="12" customHeight="1">
      <c r="A40" s="131"/>
      <c r="B40" s="124"/>
      <c r="C40" s="124"/>
      <c r="D40" s="106"/>
    </row>
    <row r="41" spans="1:4" ht="12" customHeight="1">
      <c r="A41" s="131"/>
      <c r="B41" s="124"/>
      <c r="C41" s="124"/>
      <c r="D41" s="106"/>
    </row>
    <row r="42" spans="1:4" ht="12" customHeight="1">
      <c r="A42" s="131"/>
      <c r="B42" s="124"/>
      <c r="C42" s="124"/>
      <c r="D42" s="106"/>
    </row>
    <row r="43" spans="1:4" ht="12" customHeight="1">
      <c r="A43" s="131"/>
      <c r="B43" s="124"/>
      <c r="C43" s="124"/>
      <c r="D43" s="106"/>
    </row>
    <row r="44" spans="1:4" ht="12" customHeight="1">
      <c r="A44" s="131"/>
      <c r="B44" s="124"/>
      <c r="C44" s="124"/>
      <c r="D44" s="106"/>
    </row>
    <row r="45" spans="1:4" ht="12" customHeight="1">
      <c r="A45" s="131"/>
      <c r="B45" s="124"/>
      <c r="C45" s="124"/>
      <c r="D45" s="106"/>
    </row>
    <row r="46" spans="1:4" ht="12" customHeight="1">
      <c r="A46" s="131"/>
      <c r="B46" s="124"/>
      <c r="C46" s="124"/>
      <c r="D46" s="106"/>
    </row>
    <row r="47" spans="1:4" ht="12" customHeight="1">
      <c r="A47" s="131"/>
      <c r="B47" s="124"/>
      <c r="C47" s="124"/>
      <c r="D47" s="106"/>
    </row>
    <row r="48" spans="1:4" ht="12" customHeight="1">
      <c r="A48" s="131"/>
      <c r="B48" s="124"/>
      <c r="C48" s="124"/>
      <c r="D48" s="106"/>
    </row>
    <row r="49" spans="1:4" ht="12" customHeight="1">
      <c r="A49" s="131"/>
      <c r="B49" s="124"/>
      <c r="C49" s="124"/>
      <c r="D49" s="106"/>
    </row>
    <row r="50" spans="1:4" ht="12" customHeight="1">
      <c r="A50" s="131"/>
      <c r="B50" s="124"/>
      <c r="C50" s="124"/>
      <c r="D50" s="106"/>
    </row>
    <row r="51" spans="1:3" ht="12" customHeight="1">
      <c r="A51" s="131"/>
      <c r="B51" s="132"/>
      <c r="C51" s="132"/>
    </row>
  </sheetData>
  <sheetProtection selectLockedCells="1"/>
  <mergeCells count="5">
    <mergeCell ref="M1:M2"/>
    <mergeCell ref="A1:A2"/>
    <mergeCell ref="B1:C1"/>
    <mergeCell ref="D1:F1"/>
    <mergeCell ref="G1:L1"/>
  </mergeCells>
  <printOptions/>
  <pageMargins left="0.75" right="0.75" top="1" bottom="1" header="0.5" footer="0.5"/>
  <pageSetup fitToHeight="1" fitToWidth="1"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AK39"/>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27" sqref="A27:A36"/>
    </sheetView>
  </sheetViews>
  <sheetFormatPr defaultColWidth="9.140625" defaultRowHeight="12.75"/>
  <cols>
    <col min="1" max="1" width="28.28125" style="98" customWidth="1"/>
    <col min="2" max="6" width="12.7109375" style="98" customWidth="1"/>
    <col min="7" max="12" width="15.7109375" style="98" customWidth="1"/>
    <col min="13" max="13" width="15.28125" style="98" bestFit="1" customWidth="1"/>
    <col min="14" max="16384" width="9.140625" style="98" customWidth="1"/>
  </cols>
  <sheetData>
    <row r="1" spans="1:13" ht="30" customHeight="1">
      <c r="A1" s="577" t="str">
        <f>'Set-up'!B1</f>
        <v>Belize</v>
      </c>
      <c r="B1" s="579" t="s">
        <v>477</v>
      </c>
      <c r="C1" s="579"/>
      <c r="D1" s="579" t="s">
        <v>348</v>
      </c>
      <c r="E1" s="579"/>
      <c r="F1" s="579"/>
      <c r="G1" s="576" t="s">
        <v>478</v>
      </c>
      <c r="H1" s="576"/>
      <c r="I1" s="579"/>
      <c r="J1" s="579"/>
      <c r="K1" s="579"/>
      <c r="L1" s="579"/>
      <c r="M1" s="576" t="s">
        <v>486</v>
      </c>
    </row>
    <row r="2" spans="1:37" ht="30" customHeight="1">
      <c r="A2" s="578"/>
      <c r="B2" s="99" t="s">
        <v>342</v>
      </c>
      <c r="C2" s="99" t="s">
        <v>343</v>
      </c>
      <c r="D2" s="99" t="s">
        <v>342</v>
      </c>
      <c r="E2" s="99" t="s">
        <v>479</v>
      </c>
      <c r="F2" s="99" t="s">
        <v>343</v>
      </c>
      <c r="G2" s="99" t="s">
        <v>480</v>
      </c>
      <c r="H2" s="99" t="s">
        <v>481</v>
      </c>
      <c r="I2" s="99" t="s">
        <v>482</v>
      </c>
      <c r="J2" s="99" t="s">
        <v>483</v>
      </c>
      <c r="K2" s="99" t="s">
        <v>484</v>
      </c>
      <c r="L2" s="99" t="s">
        <v>485</v>
      </c>
      <c r="M2" s="576"/>
      <c r="N2" s="100"/>
      <c r="O2" s="100"/>
      <c r="P2" s="100"/>
      <c r="Q2" s="100"/>
      <c r="R2" s="100"/>
      <c r="S2" s="100"/>
      <c r="T2" s="100"/>
      <c r="U2" s="100"/>
      <c r="V2" s="100"/>
      <c r="W2" s="100"/>
      <c r="X2" s="100"/>
      <c r="Y2" s="100"/>
      <c r="Z2" s="100"/>
      <c r="AA2" s="100"/>
      <c r="AB2" s="100"/>
      <c r="AC2" s="100"/>
      <c r="AD2" s="100"/>
      <c r="AE2" s="100"/>
      <c r="AF2" s="100"/>
      <c r="AG2" s="100"/>
      <c r="AH2" s="100"/>
      <c r="AI2" s="100"/>
      <c r="AJ2" s="100"/>
      <c r="AK2" s="100"/>
    </row>
    <row r="3" spans="1:37" s="100" customFormat="1" ht="15" customHeight="1">
      <c r="A3" s="474" t="s">
        <v>501</v>
      </c>
      <c r="B3" s="102"/>
      <c r="C3" s="102"/>
      <c r="D3" s="102"/>
      <c r="E3" s="102"/>
      <c r="F3" s="102"/>
      <c r="G3" s="102"/>
      <c r="H3" s="102"/>
      <c r="I3" s="102"/>
      <c r="J3" s="102"/>
      <c r="K3" s="102"/>
      <c r="L3" s="102"/>
      <c r="M3" s="102"/>
      <c r="N3" s="98"/>
      <c r="O3" s="98"/>
      <c r="P3" s="98"/>
      <c r="Q3" s="98"/>
      <c r="R3" s="98"/>
      <c r="S3" s="98"/>
      <c r="T3" s="98"/>
      <c r="U3" s="98"/>
      <c r="V3" s="98"/>
      <c r="W3" s="98"/>
      <c r="X3" s="98"/>
      <c r="Y3" s="98"/>
      <c r="Z3" s="98"/>
      <c r="AA3" s="98"/>
      <c r="AB3" s="98"/>
      <c r="AC3" s="98"/>
      <c r="AD3" s="98"/>
      <c r="AE3" s="98"/>
      <c r="AF3" s="98"/>
      <c r="AG3" s="98"/>
      <c r="AH3" s="98"/>
      <c r="AI3" s="98"/>
      <c r="AJ3" s="98"/>
      <c r="AK3" s="98"/>
    </row>
    <row r="4" spans="1:13" ht="15" customHeight="1">
      <c r="A4" s="103" t="str">
        <f>'Set-up'!A10</f>
        <v>ПИН</v>
      </c>
      <c r="B4" s="104">
        <f>'Set-up'!B10*(1+'Set-up'!D10)^($B$35-Base_year)</f>
        <v>58522.49782921064</v>
      </c>
      <c r="C4" s="104">
        <f>'Set-up'!C10*(1+'Set-up'!D10)^($B$35-Base_year)</f>
        <v>79804.5364505765</v>
      </c>
      <c r="D4" s="105">
        <f>MIN('Set-up'!H10+'Set-up'!O10*LN($B$35-Base_year),'Set-up'!$J10)</f>
        <v>0.08584962500721156</v>
      </c>
      <c r="E4" s="105">
        <f aca="true" t="shared" si="0" ref="E4:E11">(D4+F4)/2</f>
        <v>0.08792481250360579</v>
      </c>
      <c r="F4" s="105">
        <f>MIN('Set-up'!I10+'Set-up'!Q10*LN($B$35-Base_year),'Set-up'!$J10)</f>
        <v>0.09</v>
      </c>
      <c r="G4" s="106">
        <f aca="true" t="shared" si="1" ref="G4:G18">B4*D4</f>
        <v>5024.134493123086</v>
      </c>
      <c r="H4" s="106">
        <f aca="true" t="shared" si="2" ref="H4:H18">B4*E4</f>
        <v>5145.5796488760225</v>
      </c>
      <c r="I4" s="106">
        <f aca="true" t="shared" si="3" ref="I4:I18">B4*F4</f>
        <v>5267.024804628957</v>
      </c>
      <c r="J4" s="106">
        <f aca="true" t="shared" si="4" ref="J4:J18">C4*D4</f>
        <v>6851.189528156339</v>
      </c>
      <c r="K4" s="106">
        <f aca="true" t="shared" si="5" ref="K4:K18">C4*E4</f>
        <v>7016.798904354113</v>
      </c>
      <c r="L4" s="106">
        <f aca="true" t="shared" si="6" ref="L4:L18">C4*F4</f>
        <v>7182.408280551885</v>
      </c>
      <c r="M4" s="107">
        <f>AVERAGE(G4:L4)</f>
        <v>6081.189276615068</v>
      </c>
    </row>
    <row r="5" spans="1:13" ht="15" customHeight="1">
      <c r="A5" s="103" t="str">
        <f>'Set-up'!A11</f>
        <v>МСМ</v>
      </c>
      <c r="B5" s="104">
        <f>'Set-up'!B11*(1+'Set-up'!D11)^($B$35-Base_year)</f>
        <v>191530.05858017146</v>
      </c>
      <c r="C5" s="104">
        <f>'Set-up'!C11*(1+'Set-up'!D11)^($B$35-Base_year)</f>
        <v>287295.0878702572</v>
      </c>
      <c r="D5" s="105">
        <f>MIN('Set-up'!H11+'Set-up'!O11*LN($B$35-Base_year),'Set-up'!$J11)</f>
        <v>0.13584962500721157</v>
      </c>
      <c r="E5" s="105">
        <f t="shared" si="0"/>
        <v>0.13792481250360578</v>
      </c>
      <c r="F5" s="105">
        <f>MIN('Set-up'!I11+'Set-up'!Q11*LN($B$35-Base_year),'Set-up'!$J11)</f>
        <v>0.14</v>
      </c>
      <c r="G5" s="106">
        <f t="shared" si="1"/>
        <v>26019.28663572556</v>
      </c>
      <c r="H5" s="106">
        <f t="shared" si="2"/>
        <v>26416.74741847478</v>
      </c>
      <c r="I5" s="106">
        <f t="shared" si="3"/>
        <v>26814.208201224006</v>
      </c>
      <c r="J5" s="106">
        <f t="shared" si="4"/>
        <v>39028.92995358834</v>
      </c>
      <c r="K5" s="106">
        <f t="shared" si="5"/>
        <v>39625.12112771217</v>
      </c>
      <c r="L5" s="106">
        <f t="shared" si="6"/>
        <v>40221.31230183601</v>
      </c>
      <c r="M5" s="107">
        <f>AVERAGE(G5:L5)</f>
        <v>33020.93427309348</v>
      </c>
    </row>
    <row r="6" spans="1:13" ht="15" customHeight="1">
      <c r="A6" s="103" t="str">
        <f>'Set-up'!A12</f>
        <v>РСБ</v>
      </c>
      <c r="B6" s="104">
        <f>'Set-up'!B12*(1+'Set-up'!D12)^($B$35-Base_year)</f>
        <v>59787.60830421978</v>
      </c>
      <c r="C6" s="104">
        <f>'Set-up'!C12*(1+'Set-up'!D12)^($B$35-Base_year)</f>
        <v>89734.77297186035</v>
      </c>
      <c r="D6" s="105">
        <f>MIN('Set-up'!H12+'Set-up'!O12*LN($B$35-Base_year),'Set-up'!$J12)</f>
        <v>0.11169925001442313</v>
      </c>
      <c r="E6" s="105">
        <f t="shared" si="0"/>
        <v>0.11584962500721156</v>
      </c>
      <c r="F6" s="105">
        <f>MIN('Set-up'!I12+'Set-up'!Q12*LN($B$35-Base_year),'Set-up'!$J12)</f>
        <v>0.12</v>
      </c>
      <c r="G6" s="106">
        <f t="shared" si="1"/>
        <v>6678.231007737446</v>
      </c>
      <c r="H6" s="106">
        <f t="shared" si="2"/>
        <v>6926.37200212191</v>
      </c>
      <c r="I6" s="106">
        <f t="shared" si="3"/>
        <v>7174.512996506373</v>
      </c>
      <c r="J6" s="106">
        <f t="shared" si="4"/>
        <v>10023.306841171328</v>
      </c>
      <c r="K6" s="106">
        <f t="shared" si="5"/>
        <v>10395.739798897284</v>
      </c>
      <c r="L6" s="106">
        <f t="shared" si="6"/>
        <v>10768.172756623242</v>
      </c>
      <c r="M6" s="107">
        <f>AVERAGE(G6:L6)</f>
        <v>8661.055900509598</v>
      </c>
    </row>
    <row r="7" spans="1:13" ht="15" customHeight="1">
      <c r="A7" s="103" t="str">
        <f>'Set-up'!A13</f>
        <v>Клиенты РСБ</v>
      </c>
      <c r="B7" s="104">
        <f>'Set-up'!B13*(1+'Set-up'!D13)^($B$35-Base_year)</f>
        <v>725288.5606113</v>
      </c>
      <c r="C7" s="104">
        <f>'Set-up'!C13*(1+'Set-up'!D13)^($B$35-Base_year)</f>
        <v>984320.18940105</v>
      </c>
      <c r="D7" s="105">
        <f>MIN('Set-up'!H13+'Set-up'!O13*LN($B$35-Base_year),'Set-up'!$J13)</f>
        <v>0.03</v>
      </c>
      <c r="E7" s="105">
        <f t="shared" si="0"/>
        <v>0.0375</v>
      </c>
      <c r="F7" s="105">
        <f>MIN('Set-up'!I13+'Set-up'!Q13*LN($B$35-Base_year),'Set-up'!$J13)</f>
        <v>0.045</v>
      </c>
      <c r="G7" s="106">
        <f t="shared" si="1"/>
        <v>21758.656818339</v>
      </c>
      <c r="H7" s="106">
        <f t="shared" si="2"/>
        <v>27198.321022923752</v>
      </c>
      <c r="I7" s="106">
        <f t="shared" si="3"/>
        <v>32637.9852275085</v>
      </c>
      <c r="J7" s="106">
        <f t="shared" si="4"/>
        <v>29529.6056820315</v>
      </c>
      <c r="K7" s="106">
        <f t="shared" si="5"/>
        <v>36912.00710253937</v>
      </c>
      <c r="L7" s="106">
        <f t="shared" si="6"/>
        <v>44294.40852304725</v>
      </c>
      <c r="M7" s="107">
        <f aca="true" t="shared" si="7" ref="M7:M18">AVERAGE(G7,I7:J7,L7)</f>
        <v>32055.164062731565</v>
      </c>
    </row>
    <row r="8" spans="1:13" ht="15" customHeight="1">
      <c r="A8" s="103" t="str">
        <f>'Set-up'!A14</f>
        <v>Дополнительная ГБВР1</v>
      </c>
      <c r="B8" s="104">
        <f>'Set-up'!B14*(1+'Set-up'!D14)^($B$35-Base_year)</f>
        <v>0</v>
      </c>
      <c r="C8" s="104">
        <f>'Set-up'!C14*(1+'Set-up'!D14)^($B$35-Base_year)</f>
        <v>0</v>
      </c>
      <c r="D8" s="105">
        <f>MIN('Set-up'!H14+'Set-up'!O14*LN($B$35-Base_year),'Set-up'!$J14)</f>
        <v>0</v>
      </c>
      <c r="E8" s="105">
        <f t="shared" si="0"/>
        <v>0</v>
      </c>
      <c r="F8" s="105">
        <f>MIN('Set-up'!I14+'Set-up'!Q14*LN($B$35-Base_year),'Set-up'!$J14)</f>
        <v>0</v>
      </c>
      <c r="G8" s="106">
        <f t="shared" si="1"/>
        <v>0</v>
      </c>
      <c r="H8" s="106">
        <f t="shared" si="2"/>
        <v>0</v>
      </c>
      <c r="I8" s="106">
        <f t="shared" si="3"/>
        <v>0</v>
      </c>
      <c r="J8" s="106">
        <f t="shared" si="4"/>
        <v>0</v>
      </c>
      <c r="K8" s="106">
        <f t="shared" si="5"/>
        <v>0</v>
      </c>
      <c r="L8" s="106">
        <f t="shared" si="6"/>
        <v>0</v>
      </c>
      <c r="M8" s="107">
        <f t="shared" si="7"/>
        <v>0</v>
      </c>
    </row>
    <row r="9" spans="1:13" ht="15" customHeight="1">
      <c r="A9" s="103" t="str">
        <f>'Set-up'!A15</f>
        <v>Дополнительная ГБВР2</v>
      </c>
      <c r="B9" s="104">
        <f>'Set-up'!B15*(1+'Set-up'!D15)^($B$35-Base_year)</f>
        <v>0</v>
      </c>
      <c r="C9" s="104">
        <f>'Set-up'!C15*(1+'Set-up'!D15)^($B$35-Base_year)</f>
        <v>0</v>
      </c>
      <c r="D9" s="105">
        <f>MIN('Set-up'!H15+'Set-up'!O15*LN($B$35-Base_year),'Set-up'!$J15)</f>
        <v>0</v>
      </c>
      <c r="E9" s="105">
        <f t="shared" si="0"/>
        <v>0</v>
      </c>
      <c r="F9" s="105">
        <f>MIN('Set-up'!I15+'Set-up'!Q15*LN($B$35-Base_year),'Set-up'!$J15)</f>
        <v>0</v>
      </c>
      <c r="G9" s="106">
        <f t="shared" si="1"/>
        <v>0</v>
      </c>
      <c r="H9" s="106">
        <f t="shared" si="2"/>
        <v>0</v>
      </c>
      <c r="I9" s="106">
        <f t="shared" si="3"/>
        <v>0</v>
      </c>
      <c r="J9" s="106">
        <f t="shared" si="4"/>
        <v>0</v>
      </c>
      <c r="K9" s="106">
        <f t="shared" si="5"/>
        <v>0</v>
      </c>
      <c r="L9" s="106">
        <f t="shared" si="6"/>
        <v>0</v>
      </c>
      <c r="M9" s="107">
        <f t="shared" si="7"/>
        <v>0</v>
      </c>
    </row>
    <row r="10" spans="1:13" ht="15" customHeight="1">
      <c r="A10" s="103" t="str">
        <f>'Set-up'!A16</f>
        <v>Дополнительная ГБВР3</v>
      </c>
      <c r="B10" s="104">
        <f>'Set-up'!B16*(1+'Set-up'!D16)^($B$35-Base_year)</f>
        <v>0</v>
      </c>
      <c r="C10" s="104">
        <f>'Set-up'!C16*(1+'Set-up'!D16)^($B$35-Base_year)</f>
        <v>0</v>
      </c>
      <c r="D10" s="105">
        <f>MIN('Set-up'!H16+'Set-up'!O16*LN($B$35-Base_year),'Set-up'!$J16)</f>
        <v>0</v>
      </c>
      <c r="E10" s="105">
        <f t="shared" si="0"/>
        <v>0</v>
      </c>
      <c r="F10" s="105">
        <f>MIN('Set-up'!I16+'Set-up'!Q16*LN($B$35-Base_year),'Set-up'!$J16)</f>
        <v>0</v>
      </c>
      <c r="G10" s="106">
        <f>B10*D10</f>
        <v>0</v>
      </c>
      <c r="H10" s="106">
        <f>B10*E10</f>
        <v>0</v>
      </c>
      <c r="I10" s="106">
        <f>B10*F10</f>
        <v>0</v>
      </c>
      <c r="J10" s="106">
        <f>C10*D10</f>
        <v>0</v>
      </c>
      <c r="K10" s="106">
        <f>C10*E10</f>
        <v>0</v>
      </c>
      <c r="L10" s="106">
        <f>C10*F10</f>
        <v>0</v>
      </c>
      <c r="M10" s="107">
        <f>AVERAGE(G10,I10:J10,L10)</f>
        <v>0</v>
      </c>
    </row>
    <row r="11" spans="1:13" ht="15" customHeight="1">
      <c r="A11" s="103" t="str">
        <f>'Set-up'!A17</f>
        <v>Дополнительная ГБВР4</v>
      </c>
      <c r="B11" s="104">
        <f>'Set-up'!B17*(1+'Set-up'!D17)^($B$35-Base_year)</f>
        <v>0</v>
      </c>
      <c r="C11" s="104">
        <f>'Set-up'!C17*(1+'Set-up'!D17)^($B$35-Base_year)</f>
        <v>0</v>
      </c>
      <c r="D11" s="105">
        <f>MIN('Set-up'!H17+'Set-up'!O17*LN($B$35-Base_year),'Set-up'!$J17)</f>
        <v>0</v>
      </c>
      <c r="E11" s="105">
        <f t="shared" si="0"/>
        <v>0</v>
      </c>
      <c r="F11" s="105">
        <f>MIN('Set-up'!I17+'Set-up'!Q17*LN($B$35-Base_year),'Set-up'!$J17)</f>
        <v>0</v>
      </c>
      <c r="G11" s="106">
        <f>B11*D11</f>
        <v>0</v>
      </c>
      <c r="H11" s="106">
        <f>B11*E11</f>
        <v>0</v>
      </c>
      <c r="I11" s="106">
        <f>B11*F11</f>
        <v>0</v>
      </c>
      <c r="J11" s="106">
        <f>C11*D11</f>
        <v>0</v>
      </c>
      <c r="K11" s="106">
        <f>C11*E11</f>
        <v>0</v>
      </c>
      <c r="L11" s="106">
        <f>C11*F11</f>
        <v>0</v>
      </c>
      <c r="M11" s="107">
        <f>AVERAGE(G11,I11:J11,L11)</f>
        <v>0</v>
      </c>
    </row>
    <row r="12" spans="1:13" ht="12.75" customHeight="1">
      <c r="A12" s="474" t="str">
        <f>'Базовый год'!A12</f>
        <v>Всего группа более высокого риска</v>
      </c>
      <c r="B12" s="82">
        <f>SUM(B4:B11)</f>
        <v>1035128.725324902</v>
      </c>
      <c r="C12" s="82">
        <f>SUM(C4:C11)</f>
        <v>1441154.5866937442</v>
      </c>
      <c r="D12" s="133"/>
      <c r="E12" s="133"/>
      <c r="F12" s="133"/>
      <c r="G12" s="82"/>
      <c r="H12" s="82"/>
      <c r="I12" s="82"/>
      <c r="J12" s="82"/>
      <c r="K12" s="82"/>
      <c r="L12" s="82"/>
      <c r="M12" s="82">
        <f>SUM(M4:M11)</f>
        <v>79818.34351294971</v>
      </c>
    </row>
    <row r="13" spans="1:13" ht="15" customHeight="1">
      <c r="A13" s="111"/>
      <c r="B13" s="104"/>
      <c r="C13" s="104"/>
      <c r="D13" s="105"/>
      <c r="E13" s="105"/>
      <c r="F13" s="105"/>
      <c r="G13" s="106"/>
      <c r="H13" s="106"/>
      <c r="I13" s="106"/>
      <c r="J13" s="106"/>
      <c r="K13" s="106"/>
      <c r="L13" s="106"/>
      <c r="M13" s="107"/>
    </row>
    <row r="14" spans="1:13" ht="15" customHeight="1">
      <c r="A14" s="474" t="s">
        <v>499</v>
      </c>
      <c r="B14" s="104"/>
      <c r="C14" s="104"/>
      <c r="D14" s="105"/>
      <c r="E14" s="105"/>
      <c r="F14" s="105"/>
      <c r="G14" s="106"/>
      <c r="H14" s="106"/>
      <c r="I14" s="106"/>
      <c r="J14" s="106"/>
      <c r="K14" s="106"/>
      <c r="L14" s="106"/>
      <c r="M14" s="107"/>
    </row>
    <row r="15" spans="1:13" ht="15" customHeight="1">
      <c r="A15" s="112" t="s">
        <v>500</v>
      </c>
      <c r="B15" s="104"/>
      <c r="C15" s="104"/>
      <c r="D15" s="105"/>
      <c r="E15" s="105"/>
      <c r="F15" s="105"/>
      <c r="G15" s="106"/>
      <c r="H15" s="106"/>
      <c r="I15" s="106"/>
      <c r="J15" s="106"/>
      <c r="K15" s="106"/>
      <c r="L15" s="106"/>
      <c r="M15" s="107"/>
    </row>
    <row r="16" spans="1:13" ht="15" customHeight="1">
      <c r="A16" s="113" t="str">
        <f>'Set-up'!A22</f>
        <v>Партнеры ПИН</v>
      </c>
      <c r="B16" s="104">
        <f>'Set-up'!B22*(1+'Set-up'!D22)^($B$35-Base_year)</f>
        <v>20722.53030318</v>
      </c>
      <c r="C16" s="104">
        <f>'Set-up'!C22*(1+'Set-up'!D22)^($B$35-Base_year)</f>
        <v>41445.06060636</v>
      </c>
      <c r="D16" s="105">
        <f>MIN('Set-up'!H22+'Set-up'!O22*LN($B$35-Base_year),'Set-up'!$J22)</f>
        <v>0.0175</v>
      </c>
      <c r="E16" s="105">
        <f aca="true" t="shared" si="8" ref="E16:E21">(D16+F16)/2</f>
        <v>0.02</v>
      </c>
      <c r="F16" s="105">
        <f>MIN('Set-up'!I22+'Set-up'!Q22*LN($B$35-Base_year),'Set-up'!$J22)</f>
        <v>0.0225</v>
      </c>
      <c r="G16" s="106">
        <f t="shared" si="1"/>
        <v>362.64428030565</v>
      </c>
      <c r="H16" s="106">
        <f t="shared" si="2"/>
        <v>414.4506060636</v>
      </c>
      <c r="I16" s="106">
        <f t="shared" si="3"/>
        <v>466.25693182155</v>
      </c>
      <c r="J16" s="106">
        <f t="shared" si="4"/>
        <v>725.2885606113</v>
      </c>
      <c r="K16" s="106">
        <f t="shared" si="5"/>
        <v>828.9012121272</v>
      </c>
      <c r="L16" s="106">
        <f t="shared" si="6"/>
        <v>932.5138636431</v>
      </c>
      <c r="M16" s="107">
        <f t="shared" si="7"/>
        <v>621.6759090953999</v>
      </c>
    </row>
    <row r="17" spans="1:13" ht="15" customHeight="1">
      <c r="A17" s="113" t="str">
        <f>'Set-up'!A23</f>
        <v>Женщины-партнеры МСМ</v>
      </c>
      <c r="B17" s="104">
        <f>'Set-up'!B23*(1+'Set-up'!D23)^($B$35-Base_year)</f>
        <v>51806.32575795</v>
      </c>
      <c r="C17" s="104">
        <f>'Set-up'!C23*(1+'Set-up'!D23)^($B$35-Base_year)</f>
        <v>82890.12121272</v>
      </c>
      <c r="D17" s="105">
        <f>MIN('Set-up'!H23+'Set-up'!O23*LN($B$35-Base_year),'Set-up'!$J23)</f>
        <v>0.03</v>
      </c>
      <c r="E17" s="105">
        <f t="shared" si="8"/>
        <v>0.0325</v>
      </c>
      <c r="F17" s="105">
        <f>MIN('Set-up'!I23+'Set-up'!Q23*LN($B$35-Base_year),'Set-up'!$J23)</f>
        <v>0.035</v>
      </c>
      <c r="G17" s="106">
        <f t="shared" si="1"/>
        <v>1554.1897727384999</v>
      </c>
      <c r="H17" s="106">
        <f t="shared" si="2"/>
        <v>1683.705587133375</v>
      </c>
      <c r="I17" s="106">
        <f t="shared" si="3"/>
        <v>1813.2214015282502</v>
      </c>
      <c r="J17" s="106">
        <f t="shared" si="4"/>
        <v>2486.7036363816</v>
      </c>
      <c r="K17" s="106">
        <f t="shared" si="5"/>
        <v>2693.9289394134</v>
      </c>
      <c r="L17" s="106">
        <f t="shared" si="6"/>
        <v>2901.1542424452</v>
      </c>
      <c r="M17" s="107">
        <f t="shared" si="7"/>
        <v>2188.8172632733877</v>
      </c>
    </row>
    <row r="18" spans="1:13" ht="15" customHeight="1">
      <c r="A18" s="113" t="str">
        <f>'Set-up'!A24</f>
        <v>Партнеры клиентов РСБ</v>
      </c>
      <c r="B18" s="104">
        <f>'Set-up'!B24*(1+'Set-up'!D24)^($B$35-Base_year)</f>
        <v>466256.93182155</v>
      </c>
      <c r="C18" s="104">
        <f>'Set-up'!C24*(1+'Set-up'!D24)^($B$35-Base_year)</f>
        <v>621675.9090954</v>
      </c>
      <c r="D18" s="105">
        <f>MIN('Set-up'!H24+'Set-up'!O24*LN($B$35-Base_year),'Set-up'!$J24)</f>
        <v>0.006</v>
      </c>
      <c r="E18" s="105">
        <f t="shared" si="8"/>
        <v>0.00675</v>
      </c>
      <c r="F18" s="105">
        <f>MIN('Set-up'!I24+'Set-up'!Q24*LN($B$35-Base_year),'Set-up'!$J24)</f>
        <v>0.0075</v>
      </c>
      <c r="G18" s="106">
        <f t="shared" si="1"/>
        <v>2797.5415909293</v>
      </c>
      <c r="H18" s="106">
        <f t="shared" si="2"/>
        <v>3147.2342897954627</v>
      </c>
      <c r="I18" s="106">
        <f t="shared" si="3"/>
        <v>3496.926988661625</v>
      </c>
      <c r="J18" s="106">
        <f t="shared" si="4"/>
        <v>3730.0554545724003</v>
      </c>
      <c r="K18" s="106">
        <f t="shared" si="5"/>
        <v>4196.31238639395</v>
      </c>
      <c r="L18" s="106">
        <f t="shared" si="6"/>
        <v>4662.5693182155</v>
      </c>
      <c r="M18" s="107">
        <f t="shared" si="7"/>
        <v>3671.7733380947066</v>
      </c>
    </row>
    <row r="19" spans="1:13" ht="15" customHeight="1">
      <c r="A19" s="113" t="str">
        <f>'Set-up'!A25</f>
        <v>Дополнительная ГБНР1</v>
      </c>
      <c r="B19" s="104">
        <f>'Set-up'!B25*(1+'Set-up'!D25)^($B$35-Base_year)</f>
        <v>0</v>
      </c>
      <c r="C19" s="104">
        <f>'Set-up'!C25*(1+'Set-up'!D25)^($B$35-Base_year)</f>
        <v>0</v>
      </c>
      <c r="D19" s="105">
        <f>MIN('Set-up'!H25+'Set-up'!O25*LN($B$35-Base_year),'Set-up'!$J25)</f>
        <v>0</v>
      </c>
      <c r="E19" s="105">
        <f t="shared" si="8"/>
        <v>0</v>
      </c>
      <c r="F19" s="105">
        <f>MIN('Set-up'!I25+'Set-up'!Q25*LN($B$35-Base_year),'Set-up'!$J25)</f>
        <v>0</v>
      </c>
      <c r="G19" s="106">
        <f>B19*D19</f>
        <v>0</v>
      </c>
      <c r="H19" s="106">
        <f>B19*E19</f>
        <v>0</v>
      </c>
      <c r="I19" s="106">
        <f>B19*F19</f>
        <v>0</v>
      </c>
      <c r="J19" s="106">
        <f>C19*D19</f>
        <v>0</v>
      </c>
      <c r="K19" s="106">
        <f>C19*E19</f>
        <v>0</v>
      </c>
      <c r="L19" s="106">
        <f>C19*F19</f>
        <v>0</v>
      </c>
      <c r="M19" s="107">
        <f>AVERAGE(G19,I19:J19,L19)</f>
        <v>0</v>
      </c>
    </row>
    <row r="20" spans="1:13" ht="15" customHeight="1">
      <c r="A20" s="113" t="str">
        <f>'Set-up'!A26</f>
        <v>Дополнительная ГБНР2</v>
      </c>
      <c r="B20" s="104">
        <f>'Set-up'!B26*(1+'Set-up'!D26)^($B$35-Base_year)</f>
        <v>0</v>
      </c>
      <c r="C20" s="104">
        <f>'Set-up'!C26*(1+'Set-up'!D26)^($B$35-Base_year)</f>
        <v>0</v>
      </c>
      <c r="D20" s="105">
        <f>MIN('Set-up'!H26+'Set-up'!O26*LN($B$35-Base_year),'Set-up'!$J26)</f>
        <v>0</v>
      </c>
      <c r="E20" s="105">
        <f t="shared" si="8"/>
        <v>0</v>
      </c>
      <c r="F20" s="105">
        <f>MIN('Set-up'!I26+'Set-up'!Q26*LN($B$35-Base_year),'Set-up'!$J26)</f>
        <v>0</v>
      </c>
      <c r="G20" s="106">
        <f>B20*D20</f>
        <v>0</v>
      </c>
      <c r="H20" s="106">
        <f>B20*E20</f>
        <v>0</v>
      </c>
      <c r="I20" s="106">
        <f>B20*F20</f>
        <v>0</v>
      </c>
      <c r="J20" s="106">
        <f>C20*D20</f>
        <v>0</v>
      </c>
      <c r="K20" s="106">
        <f>C20*E20</f>
        <v>0</v>
      </c>
      <c r="L20" s="106">
        <f>C20*F20</f>
        <v>0</v>
      </c>
      <c r="M20" s="107">
        <f>AVERAGE(G20,I20:J20,L20)</f>
        <v>0</v>
      </c>
    </row>
    <row r="21" spans="1:13" ht="15" customHeight="1">
      <c r="A21" s="113" t="str">
        <f>'Set-up'!A27</f>
        <v>Дополнительная ГБНР3</v>
      </c>
      <c r="B21" s="104">
        <f>'Set-up'!B27*(1+'Set-up'!D27)^($B$35-Base_year)</f>
        <v>0</v>
      </c>
      <c r="C21" s="104">
        <f>'Set-up'!C27*(1+'Set-up'!D27)^($B$35-Base_year)</f>
        <v>0</v>
      </c>
      <c r="D21" s="105">
        <f>MIN('Set-up'!H27+'Set-up'!O27*LN($B$35-Base_year),'Set-up'!$J27)</f>
        <v>0</v>
      </c>
      <c r="E21" s="105">
        <f t="shared" si="8"/>
        <v>0</v>
      </c>
      <c r="F21" s="105">
        <f>MIN('Set-up'!I27+'Set-up'!Q27*LN($B$35-Base_year),'Set-up'!$J27)</f>
        <v>0</v>
      </c>
      <c r="G21" s="106">
        <f>B21*D21</f>
        <v>0</v>
      </c>
      <c r="H21" s="106">
        <f>B21*E21</f>
        <v>0</v>
      </c>
      <c r="I21" s="106">
        <f>B21*F21</f>
        <v>0</v>
      </c>
      <c r="J21" s="106">
        <f>C21*D21</f>
        <v>0</v>
      </c>
      <c r="K21" s="106">
        <f>C21*E21</f>
        <v>0</v>
      </c>
      <c r="L21" s="106">
        <f>C21*F21</f>
        <v>0</v>
      </c>
      <c r="M21" s="107">
        <f>AVERAGE(G21,I21:J21,L21)</f>
        <v>0</v>
      </c>
    </row>
    <row r="22" spans="1:13" ht="15" customHeight="1">
      <c r="A22" s="112" t="s">
        <v>497</v>
      </c>
      <c r="B22" s="199">
        <f>SUM(B16:B21)</f>
        <v>538785.7878826801</v>
      </c>
      <c r="C22" s="199">
        <f>SUM(C16:C21)</f>
        <v>746011.09091448</v>
      </c>
      <c r="D22" s="105"/>
      <c r="E22" s="105"/>
      <c r="F22" s="105"/>
      <c r="G22" s="106"/>
      <c r="H22" s="106"/>
      <c r="I22" s="106"/>
      <c r="J22" s="106"/>
      <c r="K22" s="106"/>
      <c r="L22" s="106"/>
      <c r="M22" s="199">
        <f>SUM(M16:M21)</f>
        <v>6482.266510463494</v>
      </c>
    </row>
    <row r="23" spans="1:13" ht="15" customHeight="1">
      <c r="A23" s="113"/>
      <c r="B23" s="199"/>
      <c r="C23" s="199"/>
      <c r="D23" s="105"/>
      <c r="E23" s="105"/>
      <c r="F23" s="105"/>
      <c r="G23" s="106"/>
      <c r="H23" s="106"/>
      <c r="I23" s="106"/>
      <c r="J23" s="106"/>
      <c r="K23" s="106"/>
      <c r="L23" s="106"/>
      <c r="M23" s="199"/>
    </row>
    <row r="24" spans="1:13" ht="15" customHeight="1">
      <c r="A24" s="112" t="s">
        <v>498</v>
      </c>
      <c r="B24" s="199"/>
      <c r="C24" s="199"/>
      <c r="D24" s="105"/>
      <c r="E24" s="105"/>
      <c r="F24" s="105"/>
      <c r="G24" s="106"/>
      <c r="H24" s="106"/>
      <c r="I24" s="106"/>
      <c r="J24" s="106"/>
      <c r="K24" s="106"/>
      <c r="L24" s="106"/>
      <c r="M24" s="199"/>
    </row>
    <row r="25" spans="1:13" ht="15" customHeight="1">
      <c r="A25" s="113" t="str">
        <f>'Set-up'!A30</f>
        <v>Городские женщины ГНР</v>
      </c>
      <c r="B25" s="104">
        <f>'Set-up'!B30*(1+'Set-up'!D30)^($B$35-Base_year)</f>
        <v>8778871.170926334</v>
      </c>
      <c r="C25" s="104">
        <f>'Set-up'!C30*(1+'Set-up'!E30)^($B$35-Base_year)</f>
        <v>8809867.177194618</v>
      </c>
      <c r="D25" s="105">
        <f>MIN('Set-up'!H30+'Set-up'!O30*LN($B$35-Base_year),'Set-up'!$J30)</f>
        <v>0.001</v>
      </c>
      <c r="E25" s="105">
        <f>(D25+F25)/2</f>
        <v>0.00125</v>
      </c>
      <c r="F25" s="105">
        <f>MIN('Set-up'!J30+'Set-up'!Q30*LN($B$35-Base_year),'Set-up'!$J30)</f>
        <v>0.0015</v>
      </c>
      <c r="G25" s="106">
        <f>B25*D25</f>
        <v>8778.871170926335</v>
      </c>
      <c r="H25" s="106">
        <f>B25*E25</f>
        <v>10973.588963657918</v>
      </c>
      <c r="I25" s="106">
        <f>B25*F25</f>
        <v>13168.306756389502</v>
      </c>
      <c r="J25" s="106">
        <f>C25*D25</f>
        <v>8809.867177194617</v>
      </c>
      <c r="K25" s="106">
        <f>C25*E25</f>
        <v>11012.333971493272</v>
      </c>
      <c r="L25" s="106">
        <f>C25*F25</f>
        <v>13214.800765791926</v>
      </c>
      <c r="M25" s="107">
        <f>AVERAGE(G25,I25:J25,L25)</f>
        <v>10992.961467575595</v>
      </c>
    </row>
    <row r="26" spans="1:13" ht="15" customHeight="1">
      <c r="A26" s="113" t="str">
        <f>'Set-up'!A31</f>
        <v>Сельские женщины ГНР</v>
      </c>
      <c r="B26" s="104">
        <f>'Set-up'!B31*(1+'Set-up'!D31)^($B$35-Base_year)</f>
        <v>975430.1301029258</v>
      </c>
      <c r="C26" s="104">
        <f>'Set-up'!C31*(1+'Set-up'!E31)^($B$35-Base_year)</f>
        <v>978874.1307994018</v>
      </c>
      <c r="D26" s="105">
        <f>MIN('Set-up'!H31+'Set-up'!O31*LN($B$35-Base_year),'Set-up'!$J31)</f>
        <v>0.00028000000000000003</v>
      </c>
      <c r="E26" s="105">
        <f>(D26+F26)/2</f>
        <v>0.000415</v>
      </c>
      <c r="F26" s="105">
        <f>MIN('Set-up'!J31+'Set-up'!Q31*LN($B$35-Base_year),'Set-up'!$J31)</f>
        <v>0.00055</v>
      </c>
      <c r="G26" s="106">
        <f>B26*D26</f>
        <v>273.12043642881923</v>
      </c>
      <c r="H26" s="106">
        <f>B26*E26</f>
        <v>404.80350399271424</v>
      </c>
      <c r="I26" s="106">
        <f>B26*F26</f>
        <v>536.4865715566092</v>
      </c>
      <c r="J26" s="106">
        <f>C26*D26</f>
        <v>274.0847566238325</v>
      </c>
      <c r="K26" s="106">
        <f>C26*E26</f>
        <v>406.23276428175177</v>
      </c>
      <c r="L26" s="106">
        <f>C26*F26</f>
        <v>538.380771939671</v>
      </c>
      <c r="M26" s="107">
        <f>AVERAGE(G26,I26:J26,L26)</f>
        <v>405.518134137233</v>
      </c>
    </row>
    <row r="27" spans="1:13" ht="15" customHeight="1">
      <c r="A27" s="112" t="s">
        <v>493</v>
      </c>
      <c r="B27" s="199">
        <f>SUM(B25:B26)</f>
        <v>9754301.30102926</v>
      </c>
      <c r="C27" s="199">
        <f>SUM(C25:C26)</f>
        <v>9788741.30799402</v>
      </c>
      <c r="D27" s="105"/>
      <c r="E27" s="105"/>
      <c r="F27" s="105"/>
      <c r="G27" s="106"/>
      <c r="H27" s="106"/>
      <c r="I27" s="106"/>
      <c r="J27" s="106"/>
      <c r="K27" s="106"/>
      <c r="L27" s="106"/>
      <c r="M27" s="107">
        <f>SUM(M25:M26)</f>
        <v>11398.479601712828</v>
      </c>
    </row>
    <row r="28" spans="1:13" ht="15" customHeight="1">
      <c r="A28" s="113"/>
      <c r="B28" s="104"/>
      <c r="C28" s="104"/>
      <c r="D28" s="105"/>
      <c r="E28" s="105"/>
      <c r="F28" s="105"/>
      <c r="G28" s="106"/>
      <c r="H28" s="106"/>
      <c r="I28" s="106"/>
      <c r="J28" s="106"/>
      <c r="K28" s="106"/>
      <c r="L28" s="106"/>
      <c r="M28" s="107"/>
    </row>
    <row r="29" spans="1:14" ht="15" customHeight="1">
      <c r="A29" s="109" t="s">
        <v>494</v>
      </c>
      <c r="B29" s="82"/>
      <c r="C29" s="82"/>
      <c r="D29" s="82"/>
      <c r="E29" s="110"/>
      <c r="F29" s="82"/>
      <c r="G29" s="82"/>
      <c r="H29" s="82"/>
      <c r="I29" s="82"/>
      <c r="J29" s="82"/>
      <c r="K29" s="82"/>
      <c r="L29" s="82"/>
      <c r="M29" s="82">
        <f>IF('Set-up'!G19&lt;&gt;"",M22,IF('Set-up'!G20&lt;&gt;"",M27,"0"))</f>
        <v>6482.266510463494</v>
      </c>
      <c r="N29" s="114"/>
    </row>
    <row r="30" spans="1:13" ht="15" customHeight="1">
      <c r="A30" s="115"/>
      <c r="B30" s="106"/>
      <c r="C30" s="106"/>
      <c r="D30" s="106"/>
      <c r="E30" s="106"/>
      <c r="F30" s="116"/>
      <c r="G30" s="106"/>
      <c r="H30" s="116"/>
      <c r="I30" s="117"/>
      <c r="J30" s="117"/>
      <c r="K30" s="117"/>
      <c r="L30" s="117"/>
      <c r="M30" s="118"/>
    </row>
    <row r="31" spans="1:13" ht="18.75" customHeight="1">
      <c r="A31" s="101" t="str">
        <f>IF(B25="0","No Risk Population","Население вне групп риска - нет данных")</f>
        <v>Население вне групп риска - нет данных</v>
      </c>
      <c r="B31" s="201">
        <f>IF('Set-up'!$G$19&lt;&gt;"",B36-(C12+C22),B36-(C12+C27))</f>
        <v>17753845.478982795</v>
      </c>
      <c r="C31" s="201">
        <f>IF('Set-up'!$G$19&lt;&gt;"",B36-(B12+B22),B36-(B12+B27))</f>
        <v>18367096.64338344</v>
      </c>
      <c r="D31" s="105"/>
      <c r="E31" s="105"/>
      <c r="F31" s="105"/>
      <c r="G31" s="106"/>
      <c r="H31" s="106"/>
      <c r="I31" s="106"/>
      <c r="J31" s="106"/>
      <c r="K31" s="106"/>
      <c r="L31" s="106"/>
      <c r="M31" s="107"/>
    </row>
    <row r="32" spans="1:13" ht="15" customHeight="1" thickBot="1">
      <c r="A32" s="119"/>
      <c r="B32" s="120"/>
      <c r="C32" s="120"/>
      <c r="D32" s="120"/>
      <c r="E32" s="120"/>
      <c r="F32" s="120"/>
      <c r="G32" s="121"/>
      <c r="H32" s="121"/>
      <c r="I32" s="122"/>
      <c r="J32" s="121"/>
      <c r="K32" s="121"/>
      <c r="L32" s="122"/>
      <c r="M32" s="120"/>
    </row>
    <row r="33" spans="1:13" ht="15" customHeight="1">
      <c r="A33" s="101" t="s">
        <v>495</v>
      </c>
      <c r="B33" s="201">
        <f>IF('Set-up'!G19&lt;&gt;"",SUM($B$12,$B$22,$C$31),$B$12+$B$27+$C$31)</f>
        <v>19941011.15659102</v>
      </c>
      <c r="C33" s="201">
        <f>IF('Set-up'!G19&lt;&gt;"",SUM($C$12,$C$22,$B$31),$C$12+$C$27+$B$31)</f>
        <v>19941011.15659102</v>
      </c>
      <c r="D33" s="107"/>
      <c r="E33" s="107"/>
      <c r="F33" s="107"/>
      <c r="G33" s="107"/>
      <c r="H33" s="107"/>
      <c r="I33" s="107"/>
      <c r="J33" s="107"/>
      <c r="K33" s="107"/>
      <c r="L33" s="107"/>
      <c r="M33" s="107">
        <f>M12+M29</f>
        <v>86300.6100234132</v>
      </c>
    </row>
    <row r="34" spans="1:13" ht="15" customHeight="1">
      <c r="A34" s="473"/>
      <c r="B34" s="107"/>
      <c r="C34" s="107"/>
      <c r="D34" s="107"/>
      <c r="E34" s="107"/>
      <c r="F34" s="107"/>
      <c r="G34" s="107"/>
      <c r="H34" s="107"/>
      <c r="I34" s="107"/>
      <c r="J34" s="107"/>
      <c r="K34" s="107"/>
      <c r="L34" s="107"/>
      <c r="M34" s="107"/>
    </row>
    <row r="35" spans="1:13" ht="15" customHeight="1">
      <c r="A35" s="101" t="s">
        <v>347</v>
      </c>
      <c r="B35" s="126">
        <v>2005</v>
      </c>
      <c r="C35" s="107"/>
      <c r="D35" s="107"/>
      <c r="E35" s="107"/>
      <c r="F35" s="107"/>
      <c r="G35" s="107"/>
      <c r="H35" s="107"/>
      <c r="I35" s="107"/>
      <c r="J35" s="107"/>
      <c r="K35" s="107"/>
      <c r="L35" s="107"/>
      <c r="M35" s="107"/>
    </row>
    <row r="36" spans="1:13" ht="15" customHeight="1">
      <c r="A36" s="101" t="s">
        <v>496</v>
      </c>
      <c r="B36" s="107">
        <f>'Set-up'!B6*(1+'Set-up'!D6)^('2005'!B35-Base_year)</f>
        <v>19941011.15659102</v>
      </c>
      <c r="C36" s="107"/>
      <c r="D36" s="107"/>
      <c r="E36" s="107"/>
      <c r="F36" s="107"/>
      <c r="G36" s="107"/>
      <c r="H36" s="107"/>
      <c r="I36" s="107"/>
      <c r="J36" s="107"/>
      <c r="K36" s="107"/>
      <c r="L36" s="107"/>
      <c r="M36" s="107"/>
    </row>
    <row r="37" spans="1:13" ht="15" customHeight="1">
      <c r="A37" s="101"/>
      <c r="B37" s="107"/>
      <c r="C37" s="107"/>
      <c r="D37" s="114"/>
      <c r="E37" s="114"/>
      <c r="F37" s="114"/>
      <c r="G37" s="114"/>
      <c r="H37" s="114"/>
      <c r="I37" s="114"/>
      <c r="J37" s="114"/>
      <c r="K37" s="114"/>
      <c r="L37" s="114"/>
      <c r="M37" s="107"/>
    </row>
    <row r="38" spans="2:13" ht="12.75">
      <c r="B38" s="107"/>
      <c r="C38" s="107"/>
      <c r="D38" s="134"/>
      <c r="E38" s="134"/>
      <c r="F38" s="134"/>
      <c r="G38" s="134"/>
      <c r="H38" s="134"/>
      <c r="I38" s="134"/>
      <c r="J38" s="134"/>
      <c r="K38" s="114"/>
      <c r="L38" s="114"/>
      <c r="M38" s="107"/>
    </row>
    <row r="39" spans="5:6" ht="12.75">
      <c r="E39" s="134"/>
      <c r="F39" s="134"/>
    </row>
  </sheetData>
  <sheetProtection sheet="1" objects="1" scenarios="1" selectLockedCells="1"/>
  <mergeCells count="5">
    <mergeCell ref="M1:M2"/>
    <mergeCell ref="A1:A2"/>
    <mergeCell ref="B1:C1"/>
    <mergeCell ref="D1:F1"/>
    <mergeCell ref="G1:L1"/>
  </mergeCells>
  <printOptions/>
  <pageMargins left="0.75" right="0.75" top="1" bottom="1" header="0.5" footer="0.5"/>
  <pageSetup fitToHeight="1" fitToWidth="1" horizontalDpi="600" verticalDpi="600" orientation="landscape" scale="61" r:id="rId2"/>
  <drawing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AJ38"/>
  <sheetViews>
    <sheetView workbookViewId="0" topLeftCell="A1">
      <pane xSplit="1" ySplit="2" topLeftCell="B3" activePane="bottomRight" state="frozen"/>
      <selection pane="topLeft" activeCell="N15" sqref="N15"/>
      <selection pane="topRight" activeCell="N15" sqref="N15"/>
      <selection pane="bottomLeft" activeCell="N15" sqref="N15"/>
      <selection pane="bottomRight" activeCell="E31" sqref="E31"/>
    </sheetView>
  </sheetViews>
  <sheetFormatPr defaultColWidth="9.140625" defaultRowHeight="12.75"/>
  <cols>
    <col min="1" max="1" width="26.57421875" style="0" customWidth="1"/>
    <col min="2" max="6" width="12.7109375" style="0" customWidth="1"/>
    <col min="7" max="12" width="15.7109375" style="0" customWidth="1"/>
    <col min="13" max="13" width="15.28125" style="0" bestFit="1" customWidth="1"/>
    <col min="15" max="15" width="11.8515625" style="0" customWidth="1"/>
  </cols>
  <sheetData>
    <row r="1" spans="1:15" ht="30" customHeight="1">
      <c r="A1" s="584" t="str">
        <f>'Set-up'!B1</f>
        <v>Belize</v>
      </c>
      <c r="B1" s="579" t="s">
        <v>477</v>
      </c>
      <c r="C1" s="579"/>
      <c r="D1" s="579" t="s">
        <v>348</v>
      </c>
      <c r="E1" s="579"/>
      <c r="F1" s="579"/>
      <c r="G1" s="576" t="s">
        <v>478</v>
      </c>
      <c r="H1" s="576"/>
      <c r="I1" s="579"/>
      <c r="J1" s="579"/>
      <c r="K1" s="579"/>
      <c r="L1" s="579"/>
      <c r="M1" s="576" t="s">
        <v>486</v>
      </c>
      <c r="N1" s="582" t="s">
        <v>503</v>
      </c>
      <c r="O1" s="580" t="s">
        <v>504</v>
      </c>
    </row>
    <row r="2" spans="1:36" ht="30" customHeight="1">
      <c r="A2" s="585"/>
      <c r="B2" s="99" t="s">
        <v>342</v>
      </c>
      <c r="C2" s="99" t="s">
        <v>343</v>
      </c>
      <c r="D2" s="99" t="s">
        <v>342</v>
      </c>
      <c r="E2" s="99" t="s">
        <v>479</v>
      </c>
      <c r="F2" s="99" t="s">
        <v>343</v>
      </c>
      <c r="G2" s="99" t="s">
        <v>480</v>
      </c>
      <c r="H2" s="99" t="s">
        <v>481</v>
      </c>
      <c r="I2" s="99" t="s">
        <v>482</v>
      </c>
      <c r="J2" s="99" t="s">
        <v>483</v>
      </c>
      <c r="K2" s="99" t="s">
        <v>484</v>
      </c>
      <c r="L2" s="99" t="s">
        <v>485</v>
      </c>
      <c r="M2" s="576"/>
      <c r="N2" s="583"/>
      <c r="O2" s="581"/>
      <c r="P2" s="1"/>
      <c r="Q2" s="1"/>
      <c r="R2" s="1"/>
      <c r="S2" s="1"/>
      <c r="T2" s="1"/>
      <c r="U2" s="1"/>
      <c r="V2" s="1"/>
      <c r="W2" s="1"/>
      <c r="X2" s="1"/>
      <c r="Y2" s="1"/>
      <c r="Z2" s="1"/>
      <c r="AA2" s="1"/>
      <c r="AB2" s="1"/>
      <c r="AC2" s="1"/>
      <c r="AD2" s="1"/>
      <c r="AE2" s="1"/>
      <c r="AF2" s="1"/>
      <c r="AG2" s="1"/>
      <c r="AH2" s="1"/>
      <c r="AI2" s="1"/>
      <c r="AJ2" s="1"/>
    </row>
    <row r="3" spans="1:36" s="1" customFormat="1" ht="15" customHeight="1">
      <c r="A3" s="474" t="s">
        <v>501</v>
      </c>
      <c r="B3" s="3"/>
      <c r="C3" s="3"/>
      <c r="D3" s="3"/>
      <c r="E3" s="3"/>
      <c r="F3" s="3"/>
      <c r="G3" s="3"/>
      <c r="H3" s="3"/>
      <c r="I3" s="3"/>
      <c r="J3" s="3"/>
      <c r="K3" s="3"/>
      <c r="L3" s="3"/>
      <c r="M3" s="3"/>
      <c r="N3" s="262"/>
      <c r="O3" s="265"/>
      <c r="P3"/>
      <c r="Q3"/>
      <c r="R3"/>
      <c r="S3"/>
      <c r="T3"/>
      <c r="U3"/>
      <c r="V3"/>
      <c r="W3"/>
      <c r="X3"/>
      <c r="Y3"/>
      <c r="Z3"/>
      <c r="AA3"/>
      <c r="AB3"/>
      <c r="AC3"/>
      <c r="AD3"/>
      <c r="AE3"/>
      <c r="AF3"/>
      <c r="AG3"/>
      <c r="AH3"/>
      <c r="AI3"/>
      <c r="AJ3"/>
    </row>
    <row r="4" spans="1:15" ht="15" customHeight="1">
      <c r="A4" s="4" t="str">
        <f>'Set-up'!A10</f>
        <v>ПИН</v>
      </c>
      <c r="B4" s="5">
        <f>'2005'!B4*(1+'Set-up'!E10)^($B$35-'2005'!$B$35)</f>
        <v>61751.714557943305</v>
      </c>
      <c r="C4" s="5">
        <f>'2005'!C4*(1+'Set-up'!E10)^($B$35-'2005'!$B$35)</f>
        <v>84208.07617793119</v>
      </c>
      <c r="D4" s="6">
        <f>MIN('Set-up'!H10+'Set-up'!O10*LN($B$35-Base_year),'Set-up'!$J10)</f>
        <v>0.09</v>
      </c>
      <c r="E4" s="105">
        <f aca="true" t="shared" si="0" ref="E4:E11">(D4+F4)/2</f>
        <v>0.09</v>
      </c>
      <c r="F4" s="6">
        <f>MIN('Set-up'!I10+'Set-up'!Q10*LN($B$35-Base_year),'Set-up'!$J10)</f>
        <v>0.09</v>
      </c>
      <c r="G4" s="7">
        <f aca="true" t="shared" si="1" ref="G4:G18">B4*D4</f>
        <v>5557.654310214897</v>
      </c>
      <c r="H4" s="7">
        <f aca="true" t="shared" si="2" ref="H4:H18">B4*E4</f>
        <v>5557.654310214897</v>
      </c>
      <c r="I4" s="7">
        <f aca="true" t="shared" si="3" ref="I4:I18">B4*F4</f>
        <v>5557.654310214897</v>
      </c>
      <c r="J4" s="7">
        <f aca="true" t="shared" si="4" ref="J4:J18">C4*D4</f>
        <v>7578.726856013806</v>
      </c>
      <c r="K4" s="7">
        <f aca="true" t="shared" si="5" ref="K4:K18">C4*E4</f>
        <v>7578.726856013806</v>
      </c>
      <c r="L4" s="7">
        <f aca="true" t="shared" si="6" ref="L4:L18">C4*F4</f>
        <v>7578.726856013806</v>
      </c>
      <c r="M4" s="8">
        <f>AVERAGE(G4:L4)</f>
        <v>6568.190583114352</v>
      </c>
      <c r="N4" s="259">
        <f>'Set-up'!B42</f>
        <v>0.008</v>
      </c>
      <c r="O4" s="266">
        <f>IF('2010'!C4&lt;&gt;0,'2010'!C4/'2010'!$C$33,"")</f>
        <v>0.004002030580289757</v>
      </c>
    </row>
    <row r="5" spans="1:15" ht="15" customHeight="1">
      <c r="A5" s="4" t="str">
        <f>'Set-up'!A11</f>
        <v>МСМ</v>
      </c>
      <c r="B5" s="5">
        <f>'2005'!B5*(1+'Set-up'!E11)^($B$35-'2005'!$B$35)</f>
        <v>202098.50818782861</v>
      </c>
      <c r="C5" s="5">
        <f>'2005'!C5*(1+'Set-up'!E11)^($B$35-'2005'!$B$35)</f>
        <v>303147.76228174294</v>
      </c>
      <c r="D5" s="6">
        <f>MIN('Set-up'!H11+'Set-up'!O11*LN($B$35-Base_year),'Set-up'!$J11)</f>
        <v>0.14</v>
      </c>
      <c r="E5" s="105">
        <f t="shared" si="0"/>
        <v>0.14</v>
      </c>
      <c r="F5" s="6">
        <f>MIN('Set-up'!I11+'Set-up'!Q11*LN($B$35-Base_year),'Set-up'!$J11)</f>
        <v>0.14</v>
      </c>
      <c r="G5" s="7">
        <f t="shared" si="1"/>
        <v>28293.791146296007</v>
      </c>
      <c r="H5" s="7">
        <f t="shared" si="2"/>
        <v>28293.791146296007</v>
      </c>
      <c r="I5" s="7">
        <f t="shared" si="3"/>
        <v>28293.791146296007</v>
      </c>
      <c r="J5" s="7">
        <f t="shared" si="4"/>
        <v>42440.68671944401</v>
      </c>
      <c r="K5" s="7">
        <f t="shared" si="5"/>
        <v>42440.68671944401</v>
      </c>
      <c r="L5" s="7">
        <f t="shared" si="6"/>
        <v>42440.68671944401</v>
      </c>
      <c r="M5" s="8">
        <f>AVERAGE(G5:L5)</f>
        <v>35367.23893287001</v>
      </c>
      <c r="N5" s="259">
        <f>'Set-up'!B43</f>
        <v>0.05</v>
      </c>
      <c r="O5" s="266">
        <f>IF('2010'!C5&lt;&gt;0,'2010'!C5/'2010'!$C$33,"")</f>
        <v>0.014407247737550095</v>
      </c>
    </row>
    <row r="6" spans="1:15" ht="15" customHeight="1">
      <c r="A6" s="4" t="str">
        <f>'Set-up'!A12</f>
        <v>РСБ</v>
      </c>
      <c r="B6" s="5">
        <f>'2005'!B6*(1+'Set-up'!E12)^($B$35-'2005'!$B$35)</f>
        <v>63086.632646453785</v>
      </c>
      <c r="C6" s="5">
        <f>'2005'!C6*(1+'Set-up'!E12)^($B$35-'2005'!$B$35)</f>
        <v>94686.25386858181</v>
      </c>
      <c r="D6" s="6">
        <f>MIN('Set-up'!H12+'Set-up'!O12*LN($B$35-Base_year),'Set-up'!$J12)</f>
        <v>0.12</v>
      </c>
      <c r="E6" s="105">
        <f t="shared" si="0"/>
        <v>0.12</v>
      </c>
      <c r="F6" s="6">
        <f>MIN('Set-up'!I12+'Set-up'!Q12*LN($B$35-Base_year),'Set-up'!$J12)</f>
        <v>0.12</v>
      </c>
      <c r="G6" s="7">
        <f t="shared" si="1"/>
        <v>7570.395917574454</v>
      </c>
      <c r="H6" s="7">
        <f t="shared" si="2"/>
        <v>7570.395917574454</v>
      </c>
      <c r="I6" s="7">
        <f t="shared" si="3"/>
        <v>7570.395917574454</v>
      </c>
      <c r="J6" s="7">
        <f t="shared" si="4"/>
        <v>11362.350464229818</v>
      </c>
      <c r="K6" s="7">
        <f t="shared" si="5"/>
        <v>11362.350464229818</v>
      </c>
      <c r="L6" s="7">
        <f t="shared" si="6"/>
        <v>11362.350464229818</v>
      </c>
      <c r="M6" s="8">
        <f>AVERAGE(G6:L6)</f>
        <v>9466.373190902137</v>
      </c>
      <c r="N6" s="259">
        <f>'Set-up'!B44</f>
        <v>0.007</v>
      </c>
      <c r="O6" s="266">
        <f>IF('2010'!C6&lt;&gt;0,'2010'!C6/'2010'!$C$33,"")</f>
        <v>0.004500011171309168</v>
      </c>
    </row>
    <row r="7" spans="1:15" ht="15" customHeight="1">
      <c r="A7" s="4" t="str">
        <f>'Set-up'!A13</f>
        <v>Клиенты РСБ</v>
      </c>
      <c r="B7" s="5">
        <f>'2005'!B7*(1+'Set-up'!E13)^($B$35-'2005'!$B$35)</f>
        <v>765309.3054523622</v>
      </c>
      <c r="C7" s="5">
        <f>'2005'!C7*(1+'Set-up'!E13)^($B$35-'2005'!$B$35)</f>
        <v>1038634.0573996342</v>
      </c>
      <c r="D7" s="6">
        <f>MIN('Set-up'!H13+'Set-up'!O13*LN($B$35-Base_year),'Set-up'!$J13)</f>
        <v>0.04785578521428744</v>
      </c>
      <c r="E7" s="105">
        <f t="shared" si="0"/>
        <v>0.04865986575892965</v>
      </c>
      <c r="F7" s="6">
        <f>MIN('Set-up'!I13+'Set-up'!Q13*LN($B$35-Base_year),'Set-up'!$J13)</f>
        <v>0.049463946303571864</v>
      </c>
      <c r="G7" s="7">
        <f t="shared" si="1"/>
        <v>36624.47774422375</v>
      </c>
      <c r="H7" s="7">
        <f t="shared" si="2"/>
        <v>37239.84806737163</v>
      </c>
      <c r="I7" s="7">
        <f t="shared" si="3"/>
        <v>37855.21839051952</v>
      </c>
      <c r="J7" s="7">
        <f t="shared" si="4"/>
        <v>49704.648367160786</v>
      </c>
      <c r="K7" s="7">
        <f t="shared" si="5"/>
        <v>50539.79380571863</v>
      </c>
      <c r="L7" s="7">
        <f t="shared" si="6"/>
        <v>51374.93924427648</v>
      </c>
      <c r="M7" s="8">
        <f aca="true" t="shared" si="7" ref="M7:M18">AVERAGE(G7,I7:J7,L7)</f>
        <v>43889.82093654513</v>
      </c>
      <c r="N7" s="259">
        <f>'Set-up'!B45</f>
        <v>0.002</v>
      </c>
      <c r="O7" s="266">
        <f>IF('2010'!C7&lt;&gt;0,'2010'!C7/'2010'!$C$33,"")</f>
        <v>0.049361598650713684</v>
      </c>
    </row>
    <row r="8" spans="1:15" ht="15" customHeight="1">
      <c r="A8" s="4" t="str">
        <f>'Set-up'!A14</f>
        <v>Дополнительная ГБВР1</v>
      </c>
      <c r="B8" s="5">
        <f>'2005'!B8*(1+'Set-up'!E14)^($B$35-'2005'!$B$35)</f>
        <v>0</v>
      </c>
      <c r="C8" s="5">
        <f>'2005'!C8*(1+'Set-up'!E14)^($B$35-'2005'!$B$35)</f>
        <v>0</v>
      </c>
      <c r="D8" s="6">
        <f>MIN('Set-up'!H14+'Set-up'!O14*LN($B$35-Base_year),'Set-up'!$J14)</f>
        <v>0</v>
      </c>
      <c r="E8" s="105">
        <f t="shared" si="0"/>
        <v>0</v>
      </c>
      <c r="F8" s="6">
        <f>MIN('Set-up'!I14+'Set-up'!Q14*LN($B$35-Base_year),'Set-up'!$J14)</f>
        <v>0</v>
      </c>
      <c r="G8" s="7">
        <f t="shared" si="1"/>
        <v>0</v>
      </c>
      <c r="H8" s="7">
        <f t="shared" si="2"/>
        <v>0</v>
      </c>
      <c r="I8" s="7">
        <f t="shared" si="3"/>
        <v>0</v>
      </c>
      <c r="J8" s="7">
        <f t="shared" si="4"/>
        <v>0</v>
      </c>
      <c r="K8" s="7">
        <f t="shared" si="5"/>
        <v>0</v>
      </c>
      <c r="L8" s="7">
        <f t="shared" si="6"/>
        <v>0</v>
      </c>
      <c r="M8" s="8">
        <f t="shared" si="7"/>
        <v>0</v>
      </c>
      <c r="N8" s="259">
        <f>'Set-up'!B46</f>
        <v>0</v>
      </c>
      <c r="O8" s="266">
        <f>IF('2010'!C8&lt;&gt;0,'2010'!C8/'2010'!$C$33,"")</f>
      </c>
    </row>
    <row r="9" spans="1:15" ht="15" customHeight="1">
      <c r="A9" s="4" t="str">
        <f>'Set-up'!A15</f>
        <v>Дополнительная ГБВР2</v>
      </c>
      <c r="B9" s="5">
        <f>'2005'!B9*(1+'Set-up'!E15)^($B$35-'2005'!$B$35)</f>
        <v>0</v>
      </c>
      <c r="C9" s="5">
        <f>'2005'!C9*(1+'Set-up'!F15)^($B$35-'2005'!$B$35)</f>
        <v>0</v>
      </c>
      <c r="D9" s="6">
        <f>MIN('Set-up'!H15+'Set-up'!O15*LN($B$35-Base_year),'Set-up'!$J15)</f>
        <v>0</v>
      </c>
      <c r="E9" s="105">
        <f t="shared" si="0"/>
        <v>0</v>
      </c>
      <c r="F9" s="6">
        <f>MIN('Set-up'!I15+'Set-up'!Q15*LN($B$35-Base_year),'Set-up'!$J15)</f>
        <v>0</v>
      </c>
      <c r="G9" s="7">
        <f t="shared" si="1"/>
        <v>0</v>
      </c>
      <c r="H9" s="7">
        <f t="shared" si="2"/>
        <v>0</v>
      </c>
      <c r="I9" s="7">
        <f t="shared" si="3"/>
        <v>0</v>
      </c>
      <c r="J9" s="7">
        <f t="shared" si="4"/>
        <v>0</v>
      </c>
      <c r="K9" s="7">
        <f t="shared" si="5"/>
        <v>0</v>
      </c>
      <c r="L9" s="7">
        <f t="shared" si="6"/>
        <v>0</v>
      </c>
      <c r="M9" s="8">
        <f t="shared" si="7"/>
        <v>0</v>
      </c>
      <c r="N9" s="259">
        <f>'Set-up'!B47</f>
        <v>0</v>
      </c>
      <c r="O9" s="266">
        <f>IF('2010'!C9&lt;&gt;0,'2010'!C9/'2010'!$C$33,"")</f>
      </c>
    </row>
    <row r="10" spans="1:15" ht="15" customHeight="1">
      <c r="A10" s="4" t="str">
        <f>'Set-up'!A16</f>
        <v>Дополнительная ГБВР3</v>
      </c>
      <c r="B10" s="5">
        <f>'2005'!B10*(1+'Set-up'!E16)^($B$35-'2005'!$B$35)</f>
        <v>0</v>
      </c>
      <c r="C10" s="5">
        <f>'2005'!C10*(1+'Set-up'!E17)^($B$35-'2005'!$B$35)</f>
        <v>0</v>
      </c>
      <c r="D10" s="6">
        <f>MIN('Set-up'!H16+'Set-up'!O16*LN($B$35-Base_year),'Set-up'!$J16)</f>
        <v>0</v>
      </c>
      <c r="E10" s="105">
        <f t="shared" si="0"/>
        <v>0</v>
      </c>
      <c r="F10" s="6">
        <f>MIN('Set-up'!I16+'Set-up'!Q16*LN($B$35-Base_year),'Set-up'!$J16)</f>
        <v>0</v>
      </c>
      <c r="G10" s="7">
        <f>B10*D10</f>
        <v>0</v>
      </c>
      <c r="H10" s="7">
        <f>B10*E10</f>
        <v>0</v>
      </c>
      <c r="I10" s="7">
        <f>B10*F10</f>
        <v>0</v>
      </c>
      <c r="J10" s="7">
        <f>C10*D10</f>
        <v>0</v>
      </c>
      <c r="K10" s="7">
        <f>C10*E10</f>
        <v>0</v>
      </c>
      <c r="L10" s="7">
        <f>C10*F10</f>
        <v>0</v>
      </c>
      <c r="M10" s="8">
        <f t="shared" si="7"/>
        <v>0</v>
      </c>
      <c r="N10" s="259">
        <f>'Set-up'!B48</f>
        <v>0</v>
      </c>
      <c r="O10" s="266">
        <f>IF('2010'!C10&lt;&gt;0,'2010'!C10/'2010'!$C$33,"")</f>
      </c>
    </row>
    <row r="11" spans="1:15" ht="15" customHeight="1">
      <c r="A11" s="4" t="str">
        <f>'Set-up'!A17</f>
        <v>Дополнительная ГБВР4</v>
      </c>
      <c r="B11" s="5">
        <f>'2005'!B11*(1+'Set-up'!E17)^($B$35-'2005'!$B$35)</f>
        <v>0</v>
      </c>
      <c r="C11" s="5">
        <f>'2005'!C11*(1+'Set-up'!F17)^($B$35-'2005'!$B$35)</f>
        <v>0</v>
      </c>
      <c r="D11" s="6">
        <f>MIN('Set-up'!H17+'Set-up'!O17*LN($B$35-Base_year),'Set-up'!$J17)</f>
        <v>0</v>
      </c>
      <c r="E11" s="105">
        <f t="shared" si="0"/>
        <v>0</v>
      </c>
      <c r="F11" s="6">
        <f>MIN('Set-up'!I17+'Set-up'!Q17*LN($B$35-Base_year),'Set-up'!$J17)</f>
        <v>0</v>
      </c>
      <c r="G11" s="7">
        <f>B11*D11</f>
        <v>0</v>
      </c>
      <c r="H11" s="7">
        <f>B11*E11</f>
        <v>0</v>
      </c>
      <c r="I11" s="7">
        <f>B11*F11</f>
        <v>0</v>
      </c>
      <c r="J11" s="7">
        <f>C11*D11</f>
        <v>0</v>
      </c>
      <c r="K11" s="7">
        <f>C11*E11</f>
        <v>0</v>
      </c>
      <c r="L11" s="7">
        <f>C11*F11</f>
        <v>0</v>
      </c>
      <c r="M11" s="8">
        <f t="shared" si="7"/>
        <v>0</v>
      </c>
      <c r="N11" s="263">
        <f>'Set-up'!B49</f>
        <v>0</v>
      </c>
      <c r="O11" s="267">
        <f>IF('2010'!C11&lt;&gt;0,'2010'!C11/'2010'!$C$33,"")</f>
      </c>
    </row>
    <row r="12" spans="1:15" ht="15" customHeight="1">
      <c r="A12" s="475" t="s">
        <v>502</v>
      </c>
      <c r="B12" s="57">
        <f>SUM(B4:B11)</f>
        <v>1092246.160844588</v>
      </c>
      <c r="C12" s="57">
        <f>SUM(C4:C11)</f>
        <v>1520676.1497278903</v>
      </c>
      <c r="D12" s="55"/>
      <c r="E12" s="55"/>
      <c r="F12" s="55"/>
      <c r="G12" s="57"/>
      <c r="H12" s="57"/>
      <c r="I12" s="57"/>
      <c r="J12" s="57"/>
      <c r="K12" s="57"/>
      <c r="L12" s="57"/>
      <c r="M12" s="57">
        <f>SUM(M4:M11)</f>
        <v>95291.62364343164</v>
      </c>
      <c r="N12" s="259"/>
      <c r="O12" s="264"/>
    </row>
    <row r="13" spans="1:15" ht="15" customHeight="1">
      <c r="A13" s="2"/>
      <c r="B13" s="93"/>
      <c r="C13" s="93"/>
      <c r="D13" s="58"/>
      <c r="E13" s="58"/>
      <c r="F13" s="58"/>
      <c r="G13" s="93"/>
      <c r="H13" s="93"/>
      <c r="I13" s="93"/>
      <c r="J13" s="93"/>
      <c r="K13" s="93"/>
      <c r="L13" s="93"/>
      <c r="M13" s="93"/>
      <c r="N13" s="268"/>
      <c r="O13" s="264"/>
    </row>
    <row r="14" spans="1:15" ht="15" customHeight="1">
      <c r="A14" s="474" t="s">
        <v>499</v>
      </c>
      <c r="B14" s="5"/>
      <c r="C14" s="5"/>
      <c r="D14" s="6"/>
      <c r="E14" s="6"/>
      <c r="F14" s="6"/>
      <c r="G14" s="7"/>
      <c r="H14" s="7"/>
      <c r="I14" s="7"/>
      <c r="J14" s="7"/>
      <c r="K14" s="7"/>
      <c r="L14" s="7"/>
      <c r="M14" s="8"/>
      <c r="N14" s="268"/>
      <c r="O14" s="264"/>
    </row>
    <row r="15" spans="1:15" ht="15" customHeight="1">
      <c r="A15" s="112" t="s">
        <v>500</v>
      </c>
      <c r="B15" s="5"/>
      <c r="C15" s="5"/>
      <c r="D15" s="6"/>
      <c r="E15" s="6"/>
      <c r="F15" s="6"/>
      <c r="G15" s="7"/>
      <c r="H15" s="7"/>
      <c r="I15" s="7"/>
      <c r="J15" s="7"/>
      <c r="K15" s="7"/>
      <c r="L15" s="7"/>
      <c r="M15" s="8"/>
      <c r="N15" s="269"/>
      <c r="O15" s="270"/>
    </row>
    <row r="16" spans="1:15" ht="15" customHeight="1">
      <c r="A16" s="51" t="str">
        <f>'Set-up'!A22</f>
        <v>Партнеры ПИН</v>
      </c>
      <c r="B16" s="5">
        <f>'2005'!B16*(1+'Set-up'!E22)^($B$35-'2005'!$B$35)</f>
        <v>21865.980155781774</v>
      </c>
      <c r="C16" s="5">
        <f>'2005'!C16*(1+'Set-up'!E22)^($B$35-'2005'!$B$35)</f>
        <v>43731.96031156355</v>
      </c>
      <c r="D16" s="6">
        <f>MIN('Set-up'!H22+'Set-up'!O22*LN($B$35-Base_year),'Set-up'!$J22)</f>
        <v>0.02419591945535779</v>
      </c>
      <c r="E16" s="105">
        <f aca="true" t="shared" si="8" ref="E16:E21">(D16+F16)/2</f>
        <v>0.024463946303571862</v>
      </c>
      <c r="F16" s="6">
        <f>MIN('Set-up'!I22+'Set-up'!Q22*LN($B$35-Base_year),'Set-up'!$J22)</f>
        <v>0.024731973151785932</v>
      </c>
      <c r="G16" s="7">
        <f t="shared" si="1"/>
        <v>529.0674946617476</v>
      </c>
      <c r="H16" s="7">
        <f t="shared" si="2"/>
        <v>534.9281644060133</v>
      </c>
      <c r="I16" s="7">
        <f t="shared" si="3"/>
        <v>540.7888341502788</v>
      </c>
      <c r="J16" s="7">
        <f t="shared" si="4"/>
        <v>1058.1349893234951</v>
      </c>
      <c r="K16" s="7">
        <f t="shared" si="5"/>
        <v>1069.8563288120265</v>
      </c>
      <c r="L16" s="7">
        <f t="shared" si="6"/>
        <v>1081.5776683005577</v>
      </c>
      <c r="M16" s="8">
        <f t="shared" si="7"/>
        <v>802.3922466090198</v>
      </c>
      <c r="N16" s="259">
        <f>'Set-up'!B50</f>
        <v>0.001</v>
      </c>
      <c r="O16" s="266">
        <f>IF('2010'!C16&lt;&gt;"0",'2010'!C16/'2010'!$C$33,"")</f>
        <v>0.0020783831010826818</v>
      </c>
    </row>
    <row r="17" spans="1:15" ht="15" customHeight="1">
      <c r="A17" s="51" t="str">
        <f>'Set-up'!A23</f>
        <v>Женщины-партнеры МСМ</v>
      </c>
      <c r="B17" s="5">
        <f>'2005'!B17*(1+'Set-up'!E23)^($B$35-'2005'!$B$35)</f>
        <v>54664.95038945443</v>
      </c>
      <c r="C17" s="5">
        <f>'2005'!C17*(1+'Set-up'!E23)^($B$35-'2005'!$B$35)</f>
        <v>87463.9206231271</v>
      </c>
      <c r="D17" s="6">
        <f>MIN('Set-up'!H23+'Set-up'!O23*LN($B$35-Base_year),'Set-up'!$J23)</f>
        <v>0.038927892607143716</v>
      </c>
      <c r="E17" s="105">
        <f t="shared" si="8"/>
        <v>0.03919591945535779</v>
      </c>
      <c r="F17" s="6">
        <f>MIN('Set-up'!I23+'Set-up'!Q23*LN($B$35-Base_year),'Set-up'!$J23)</f>
        <v>0.03946394630357186</v>
      </c>
      <c r="G17" s="7">
        <f t="shared" si="1"/>
        <v>2127.9913181355214</v>
      </c>
      <c r="H17" s="7">
        <f t="shared" si="2"/>
        <v>2142.6429924961853</v>
      </c>
      <c r="I17" s="7">
        <f t="shared" si="3"/>
        <v>2157.2946668568493</v>
      </c>
      <c r="J17" s="7">
        <f t="shared" si="4"/>
        <v>3404.786109016834</v>
      </c>
      <c r="K17" s="7">
        <f t="shared" si="5"/>
        <v>3428.2287879938967</v>
      </c>
      <c r="L17" s="7">
        <f t="shared" si="6"/>
        <v>3451.671466970959</v>
      </c>
      <c r="M17" s="8">
        <f t="shared" si="7"/>
        <v>2785.4358902450413</v>
      </c>
      <c r="N17" s="259">
        <f>'Set-up'!B51</f>
        <v>0.003</v>
      </c>
      <c r="O17" s="266">
        <f>IF('2010'!C17&lt;&gt;"0",'2010'!C17/'2010'!$C$33,"")</f>
        <v>0.0041567662021653635</v>
      </c>
    </row>
    <row r="18" spans="1:15" ht="15" customHeight="1">
      <c r="A18" s="51" t="str">
        <f>'Set-up'!A24</f>
        <v>Партнеры клиентов РСБ</v>
      </c>
      <c r="B18" s="5">
        <f>'2005'!B18*(1+'Set-up'!E24)^($B$35-'2005'!$B$35)</f>
        <v>491984.5535050899</v>
      </c>
      <c r="C18" s="5">
        <f>'2005'!C18*(1+'Set-up'!E24)^($B$35-'2005'!$B$35)</f>
        <v>655979.4046734532</v>
      </c>
      <c r="D18" s="6">
        <f>MIN('Set-up'!H24+'Set-up'!O24*LN($B$35-Base_year),'Set-up'!$J24)</f>
        <v>0.009571157042857489</v>
      </c>
      <c r="E18" s="105">
        <f t="shared" si="8"/>
        <v>0.009651565097321709</v>
      </c>
      <c r="F18" s="6">
        <f>MIN('Set-up'!I24+'Set-up'!Q24*LN($B$35-Base_year),'Set-up'!$J24)</f>
        <v>0.009731973151785929</v>
      </c>
      <c r="G18" s="7">
        <f t="shared" si="1"/>
        <v>4708.8614242573385</v>
      </c>
      <c r="H18" s="7">
        <f t="shared" si="2"/>
        <v>4748.42094503113</v>
      </c>
      <c r="I18" s="7">
        <f t="shared" si="3"/>
        <v>4787.9804658049225</v>
      </c>
      <c r="J18" s="7">
        <f t="shared" si="4"/>
        <v>6278.481899009784</v>
      </c>
      <c r="K18" s="7">
        <f t="shared" si="5"/>
        <v>6331.227926708174</v>
      </c>
      <c r="L18" s="7">
        <f t="shared" si="6"/>
        <v>6383.973954406563</v>
      </c>
      <c r="M18" s="8">
        <f t="shared" si="7"/>
        <v>5539.824435869652</v>
      </c>
      <c r="N18" s="259">
        <f>'Set-up'!B52</f>
        <v>0.0005</v>
      </c>
      <c r="O18" s="266">
        <f>IF('2010'!C18&lt;&gt;"0",'2010'!C18/'2010'!$C$33,"")</f>
        <v>0.031175746516240225</v>
      </c>
    </row>
    <row r="19" spans="1:15" ht="15" customHeight="1">
      <c r="A19" s="51" t="str">
        <f>'Set-up'!A25</f>
        <v>Дополнительная ГБНР1</v>
      </c>
      <c r="B19" s="5">
        <f>'2005'!B19*(1+'Set-up'!E25)^($B$35-'2005'!$B$35)</f>
        <v>0</v>
      </c>
      <c r="C19" s="5">
        <f>'2005'!C19*(1+'Set-up'!E25)^($B$35-'2005'!$B$35)</f>
        <v>0</v>
      </c>
      <c r="D19" s="6">
        <f>MIN('Set-up'!H25+'Set-up'!O25*LN($B$35-Base_year),'Set-up'!$J25)</f>
        <v>0</v>
      </c>
      <c r="E19" s="105">
        <f t="shared" si="8"/>
        <v>0</v>
      </c>
      <c r="F19" s="6">
        <f>MIN('Set-up'!I25+'Set-up'!Q25*LN($B$35-Base_year),'Set-up'!$J25)</f>
        <v>0</v>
      </c>
      <c r="G19" s="7">
        <f>B19*D19</f>
        <v>0</v>
      </c>
      <c r="H19" s="7">
        <f>B19*E19</f>
        <v>0</v>
      </c>
      <c r="I19" s="7">
        <f>B19*F19</f>
        <v>0</v>
      </c>
      <c r="J19" s="7">
        <f>C19*D19</f>
        <v>0</v>
      </c>
      <c r="K19" s="7">
        <f>C19*E19</f>
        <v>0</v>
      </c>
      <c r="L19" s="7">
        <f>C19*F19</f>
        <v>0</v>
      </c>
      <c r="M19" s="8">
        <f>AVERAGE(G19,I19:J19,L19)</f>
        <v>0</v>
      </c>
      <c r="N19" s="259">
        <f>'Set-up'!B53</f>
        <v>0</v>
      </c>
      <c r="O19" s="266">
        <f>IF('2010'!C19&lt;&gt;"0",'2010'!C19/'2010'!$C$33,"")</f>
        <v>0</v>
      </c>
    </row>
    <row r="20" spans="1:15" ht="15" customHeight="1">
      <c r="A20" s="51" t="str">
        <f>'Set-up'!A26</f>
        <v>Дополнительная ГБНР2</v>
      </c>
      <c r="B20" s="5">
        <f>'2005'!B20*(1+'Set-up'!E26)^($B$35-'2005'!$B$35)</f>
        <v>0</v>
      </c>
      <c r="C20" s="5">
        <f>'2005'!C20*(1+'Set-up'!E26)^($B$35-'2005'!$B$35)</f>
        <v>0</v>
      </c>
      <c r="D20" s="6">
        <f>MIN('Set-up'!H26+'Set-up'!O26*LN($B$35-Base_year),'Set-up'!$J26)</f>
        <v>0</v>
      </c>
      <c r="E20" s="105">
        <f t="shared" si="8"/>
        <v>0</v>
      </c>
      <c r="F20" s="6">
        <f>MIN('Set-up'!I26+'Set-up'!Q26*LN($B$35-Base_year),'Set-up'!$J26)</f>
        <v>0</v>
      </c>
      <c r="G20" s="7">
        <f>B20*D20</f>
        <v>0</v>
      </c>
      <c r="H20" s="7">
        <f>B20*E20</f>
        <v>0</v>
      </c>
      <c r="I20" s="7">
        <f>B20*F20</f>
        <v>0</v>
      </c>
      <c r="J20" s="7">
        <f>C20*D20</f>
        <v>0</v>
      </c>
      <c r="K20" s="7">
        <f>C20*E20</f>
        <v>0</v>
      </c>
      <c r="L20" s="7">
        <f>C20*F20</f>
        <v>0</v>
      </c>
      <c r="M20" s="8">
        <f>AVERAGE(G20,I20:J20,L20)</f>
        <v>0</v>
      </c>
      <c r="N20" s="259">
        <f>'Set-up'!B54</f>
        <v>0</v>
      </c>
      <c r="O20" s="266">
        <f>IF('2010'!C20&lt;&gt;"0",'2010'!C20/'2010'!$C$33,"")</f>
        <v>0</v>
      </c>
    </row>
    <row r="21" spans="1:15" ht="15" customHeight="1">
      <c r="A21" s="51" t="str">
        <f>'Set-up'!A27</f>
        <v>Дополнительная ГБНР3</v>
      </c>
      <c r="B21" s="5">
        <f>'2005'!B21*(1+'Set-up'!E27)^($B$35-'2005'!$B$35)</f>
        <v>0</v>
      </c>
      <c r="C21" s="5">
        <f>'2005'!C21*(1+'Set-up'!E27)^($B$35-'2005'!$B$35)</f>
        <v>0</v>
      </c>
      <c r="D21" s="6">
        <f>MIN('Set-up'!H27+'Set-up'!O27*LN($B$35-Base_year),'Set-up'!$J27)</f>
        <v>0</v>
      </c>
      <c r="E21" s="105">
        <f t="shared" si="8"/>
        <v>0</v>
      </c>
      <c r="F21" s="6">
        <f>MIN('Set-up'!I27+'Set-up'!Q27*LN($B$35-Base_year),'Set-up'!$J27)</f>
        <v>0</v>
      </c>
      <c r="G21" s="7">
        <f>B21*D21</f>
        <v>0</v>
      </c>
      <c r="H21" s="7">
        <f>B21*E21</f>
        <v>0</v>
      </c>
      <c r="I21" s="7">
        <f>B21*F21</f>
        <v>0</v>
      </c>
      <c r="J21" s="7">
        <f>C21*D21</f>
        <v>0</v>
      </c>
      <c r="K21" s="7">
        <f>C21*E21</f>
        <v>0</v>
      </c>
      <c r="L21" s="7">
        <f>C21*F21</f>
        <v>0</v>
      </c>
      <c r="M21" s="8">
        <f>AVERAGE(G21,I21:J21,L21)</f>
        <v>0</v>
      </c>
      <c r="N21" s="263">
        <f>'Set-up'!B55</f>
        <v>0</v>
      </c>
      <c r="O21" s="267">
        <f>IF('2010'!C21&lt;&gt;"0",'2010'!C21/'2010'!$C$33,"")</f>
        <v>0</v>
      </c>
    </row>
    <row r="22" spans="1:13" ht="15" customHeight="1">
      <c r="A22" s="112" t="s">
        <v>497</v>
      </c>
      <c r="B22" s="202">
        <f>SUM(B16:B21)</f>
        <v>568515.484050326</v>
      </c>
      <c r="C22" s="202">
        <f>SUM(C16:C21)</f>
        <v>787175.2856081438</v>
      </c>
      <c r="D22" s="6"/>
      <c r="E22" s="6"/>
      <c r="F22" s="6"/>
      <c r="G22" s="7"/>
      <c r="H22" s="7"/>
      <c r="I22" s="7"/>
      <c r="J22" s="7"/>
      <c r="K22" s="7"/>
      <c r="L22" s="7"/>
      <c r="M22" s="8">
        <f>SUM(M16:M21)</f>
        <v>9127.652572723713</v>
      </c>
    </row>
    <row r="23" spans="1:13" ht="15" customHeight="1">
      <c r="A23" s="113"/>
      <c r="B23" s="5"/>
      <c r="C23" s="5"/>
      <c r="D23" s="6"/>
      <c r="E23" s="6"/>
      <c r="F23" s="6"/>
      <c r="G23" s="7"/>
      <c r="H23" s="7"/>
      <c r="I23" s="7"/>
      <c r="J23" s="7"/>
      <c r="K23" s="7"/>
      <c r="L23" s="7"/>
      <c r="M23" s="8"/>
    </row>
    <row r="24" spans="1:13" ht="15" customHeight="1">
      <c r="A24" s="112" t="s">
        <v>498</v>
      </c>
      <c r="B24" s="5"/>
      <c r="C24" s="5"/>
      <c r="D24" s="6"/>
      <c r="E24" s="6"/>
      <c r="F24" s="6"/>
      <c r="G24" s="7"/>
      <c r="H24" s="7"/>
      <c r="I24" s="7"/>
      <c r="J24" s="7"/>
      <c r="K24" s="7"/>
      <c r="L24" s="7"/>
      <c r="M24" s="8"/>
    </row>
    <row r="25" spans="1:13" ht="15" customHeight="1">
      <c r="A25" s="113" t="str">
        <f>'Set-up'!A30</f>
        <v>Городские женщины ГНР</v>
      </c>
      <c r="B25" s="5">
        <f>'2005'!B25*(1+'Set-up'!E30)^($B$35-'2005'!$B$35)</f>
        <v>9272449.010290494</v>
      </c>
      <c r="C25" s="5">
        <f>'2005'!C25*(1+'Set-up'!F30)^($B$35-'2005'!$B$35)</f>
        <v>9259258.94327766</v>
      </c>
      <c r="D25" s="6">
        <f>MIN('Set-up'!H30+'Set-up'!O30*LN($B$35-Base_year),'Set-up'!$J30)</f>
        <v>0.001446394630357186</v>
      </c>
      <c r="E25" s="105">
        <f>(D25+F25)/2</f>
        <v>0.0014597959727678895</v>
      </c>
      <c r="F25" s="6">
        <f>MIN('Set-up'!I30+'Set-up'!Q30*LN($B$35-Base_year),'Set-up'!$J30)</f>
        <v>0.0014731973151785932</v>
      </c>
      <c r="G25" s="7">
        <f>B25*D25</f>
        <v>13411.620458744976</v>
      </c>
      <c r="H25" s="7">
        <f>B25*E25</f>
        <v>13535.883722917666</v>
      </c>
      <c r="I25" s="7">
        <f>B25*F25</f>
        <v>13660.14698709036</v>
      </c>
      <c r="J25" s="7">
        <f>C25*D25</f>
        <v>13392.542416643562</v>
      </c>
      <c r="K25" s="7">
        <f>C25*E25</f>
        <v>13516.628916211794</v>
      </c>
      <c r="L25" s="7">
        <f>C25*F25</f>
        <v>13640.715415780027</v>
      </c>
      <c r="M25" s="8">
        <f>AVERAGE(G25,I25:J25,L25)</f>
        <v>13526.25631956473</v>
      </c>
    </row>
    <row r="26" spans="1:15" ht="15" customHeight="1">
      <c r="A26" s="113" t="str">
        <f>'Set-up'!A31</f>
        <v>Сельские женщины ГНР</v>
      </c>
      <c r="B26" s="5">
        <f>'2005'!B26*(1+'Set-up'!E31)^($B$35-'2005'!$B$35)</f>
        <v>1030272.1122544992</v>
      </c>
      <c r="C26" s="5">
        <f>'2005'!C26*(1+'Set-up'!F31)^($B$35-'2005'!$B$35)</f>
        <v>1028806.5492530732</v>
      </c>
      <c r="D26" s="6">
        <f>MIN('Set-up'!H31+'Set-up'!O31*LN($B$35-Base_year),'Set-up'!$J31)</f>
        <v>0.0005210531003928805</v>
      </c>
      <c r="E26" s="105">
        <f>(D26+F26)/2</f>
        <v>0.0005341864159553698</v>
      </c>
      <c r="F26" s="6">
        <f>MIN('Set-up'!I31+'Set-up'!Q31*LN($B$35-Base_year),'Set-up'!$J31)</f>
        <v>0.0005473197315178593</v>
      </c>
      <c r="G26" s="7">
        <f>B26*D26</f>
        <v>536.8264783385287</v>
      </c>
      <c r="H26" s="7">
        <f>B26*E26</f>
        <v>550.3573671039994</v>
      </c>
      <c r="I26" s="7">
        <f>B26*F26</f>
        <v>563.8882558694703</v>
      </c>
      <c r="J26" s="7">
        <f>C26*D26</f>
        <v>536.0628421928145</v>
      </c>
      <c r="K26" s="7">
        <f>C26*E26</f>
        <v>549.5744832569109</v>
      </c>
      <c r="L26" s="7">
        <f>C26*F26</f>
        <v>563.0861243210073</v>
      </c>
      <c r="M26" s="8">
        <f>AVERAGE(G26,I26:J26,L26)</f>
        <v>549.9659251804552</v>
      </c>
      <c r="O26" s="92"/>
    </row>
    <row r="27" spans="1:15" s="52" customFormat="1" ht="15" customHeight="1">
      <c r="A27" s="112" t="s">
        <v>493</v>
      </c>
      <c r="B27" s="93">
        <f>SUM(B16:B26)</f>
        <v>11439752.090645645</v>
      </c>
      <c r="C27" s="93">
        <f>SUM(C16:C26)</f>
        <v>11862416.06374702</v>
      </c>
      <c r="D27" s="58"/>
      <c r="E27" s="58"/>
      <c r="F27" s="58"/>
      <c r="G27" s="93"/>
      <c r="H27" s="93"/>
      <c r="I27" s="93"/>
      <c r="J27" s="93"/>
      <c r="K27" s="93"/>
      <c r="L27" s="93"/>
      <c r="M27" s="93">
        <f>SUM(M25:M26)</f>
        <v>14076.222244745186</v>
      </c>
      <c r="N27" s="56"/>
      <c r="O27" s="203"/>
    </row>
    <row r="28" spans="1:15" ht="15" customHeight="1">
      <c r="A28" s="113"/>
      <c r="B28" s="93"/>
      <c r="C28" s="93"/>
      <c r="D28" s="58"/>
      <c r="E28" s="58"/>
      <c r="F28" s="58"/>
      <c r="G28" s="93"/>
      <c r="H28" s="93"/>
      <c r="I28" s="93"/>
      <c r="J28" s="93"/>
      <c r="K28" s="93"/>
      <c r="L28" s="93"/>
      <c r="M28" s="93"/>
      <c r="N28" s="56"/>
      <c r="O28" s="91"/>
    </row>
    <row r="29" spans="1:15" ht="15" customHeight="1">
      <c r="A29" s="109" t="s">
        <v>494</v>
      </c>
      <c r="B29" s="57"/>
      <c r="C29" s="57"/>
      <c r="D29" s="55"/>
      <c r="E29" s="55"/>
      <c r="F29" s="55"/>
      <c r="G29" s="57"/>
      <c r="H29" s="57"/>
      <c r="I29" s="57"/>
      <c r="J29" s="57"/>
      <c r="K29" s="57"/>
      <c r="L29" s="57"/>
      <c r="M29" s="82">
        <f>IF('Set-up'!G19&lt;&gt;"",M22,IF('Set-up'!G20&lt;&gt;"",M27,"0"))</f>
        <v>9127.652572723713</v>
      </c>
      <c r="N29" s="56"/>
      <c r="O29" s="91"/>
    </row>
    <row r="30" spans="1:13" ht="15" customHeight="1">
      <c r="A30" s="115"/>
      <c r="B30" s="7"/>
      <c r="C30" s="7"/>
      <c r="D30" s="9"/>
      <c r="E30" s="8"/>
      <c r="F30" s="10"/>
      <c r="G30" s="11"/>
      <c r="H30" s="11"/>
      <c r="I30" s="12"/>
      <c r="J30" s="11"/>
      <c r="K30" s="11"/>
      <c r="L30" s="12"/>
      <c r="M30" s="10"/>
    </row>
    <row r="31" spans="1:13" ht="24" customHeight="1">
      <c r="A31" s="101" t="str">
        <f>IF(B25="0","No Risk Population","Население вне групп риска - нет данных")</f>
        <v>Население вне групп риска - нет данных</v>
      </c>
      <c r="B31" s="201">
        <f>IF('Set-up'!$G$19&lt;&gt;"",B36-(C12+C22),B36-(C12+C27))</f>
        <v>18733486.077840663</v>
      </c>
      <c r="C31" s="201">
        <f>IF('Set-up'!$G$19&lt;&gt;"",B36-(B12+B22),B36-(B12+B27))</f>
        <v>19380575.868281785</v>
      </c>
      <c r="D31" s="6"/>
      <c r="E31" s="6"/>
      <c r="F31" s="6"/>
      <c r="G31" s="7"/>
      <c r="H31" s="7"/>
      <c r="I31" s="7"/>
      <c r="J31" s="7"/>
      <c r="K31" s="7"/>
      <c r="L31" s="7"/>
      <c r="M31" s="8"/>
    </row>
    <row r="32" spans="1:13" ht="15" customHeight="1" thickBot="1">
      <c r="A32" s="119"/>
      <c r="B32" s="64"/>
      <c r="C32" s="13"/>
      <c r="D32" s="13"/>
      <c r="E32" s="13"/>
      <c r="F32" s="13"/>
      <c r="G32" s="14"/>
      <c r="H32" s="14"/>
      <c r="I32" s="15"/>
      <c r="J32" s="14"/>
      <c r="K32" s="14"/>
      <c r="L32" s="15"/>
      <c r="M32" s="13"/>
    </row>
    <row r="33" spans="1:13" ht="15" customHeight="1">
      <c r="A33" s="101" t="s">
        <v>495</v>
      </c>
      <c r="B33" s="201">
        <f>IF('Set-up'!G19&lt;&gt;"",SUM($B$12,$B$22,$C$31),$B$12+$B$27+$C$31)</f>
        <v>21041337.5131767</v>
      </c>
      <c r="C33" s="201">
        <f>IF('Set-up'!G19&lt;&gt;"",SUM($C$12,$C$22,$B$31),$C$12+$C$27+$B$31)</f>
        <v>21041337.5131767</v>
      </c>
      <c r="D33" s="8"/>
      <c r="E33" s="8"/>
      <c r="F33" s="8"/>
      <c r="G33" s="8"/>
      <c r="H33" s="8"/>
      <c r="I33" s="8"/>
      <c r="J33" s="8"/>
      <c r="K33" s="8"/>
      <c r="L33" s="8"/>
      <c r="M33" s="8">
        <f>M12+M29</f>
        <v>104419.27621615535</v>
      </c>
    </row>
    <row r="34" spans="1:13" ht="15" customHeight="1">
      <c r="A34" s="473"/>
      <c r="B34" s="8"/>
      <c r="C34" s="8"/>
      <c r="D34" s="8"/>
      <c r="E34" s="8"/>
      <c r="F34" s="8"/>
      <c r="G34" s="8"/>
      <c r="H34" s="8"/>
      <c r="I34" s="8"/>
      <c r="J34" s="8"/>
      <c r="K34" s="8"/>
      <c r="L34" s="8"/>
      <c r="M34" s="8"/>
    </row>
    <row r="35" spans="1:13" ht="15" customHeight="1">
      <c r="A35" s="101" t="s">
        <v>347</v>
      </c>
      <c r="B35" s="19">
        <v>2010</v>
      </c>
      <c r="C35" s="8"/>
      <c r="D35" s="8"/>
      <c r="E35" s="8"/>
      <c r="F35" s="8"/>
      <c r="G35" s="8"/>
      <c r="H35" s="8"/>
      <c r="I35" s="8"/>
      <c r="J35" s="8"/>
      <c r="K35" s="8"/>
      <c r="L35" s="8"/>
      <c r="M35" s="8"/>
    </row>
    <row r="36" spans="1:13" ht="15" customHeight="1">
      <c r="A36" s="101" t="s">
        <v>496</v>
      </c>
      <c r="B36" s="8">
        <f>'Set-up'!$B$6*(1+'Set-up'!$D$6)^('2005'!$B$35-Base_year)*(1+'Set-up'!$E$6)^('2010'!$B$35-'2005'!$B$35)</f>
        <v>21041337.5131767</v>
      </c>
      <c r="C36" s="8"/>
      <c r="D36" s="8"/>
      <c r="E36" s="8"/>
      <c r="F36" s="8"/>
      <c r="G36" s="8"/>
      <c r="H36" s="8"/>
      <c r="I36" s="8"/>
      <c r="J36" s="8"/>
      <c r="K36" s="8"/>
      <c r="L36" s="8"/>
      <c r="M36" s="8"/>
    </row>
    <row r="37" spans="1:13" ht="15" customHeight="1">
      <c r="A37" s="2"/>
      <c r="B37" s="8"/>
      <c r="C37" s="8"/>
      <c r="D37" s="8"/>
      <c r="E37" s="8"/>
      <c r="F37" s="8"/>
      <c r="G37" s="8"/>
      <c r="H37" s="8"/>
      <c r="I37" s="8"/>
      <c r="J37" s="8"/>
      <c r="K37" s="8"/>
      <c r="L37" s="8"/>
      <c r="M37" s="8"/>
    </row>
    <row r="38" spans="1:13" ht="15" customHeight="1">
      <c r="A38" s="2"/>
      <c r="B38" s="8"/>
      <c r="C38" s="8"/>
      <c r="K38" s="8"/>
      <c r="L38" s="8"/>
      <c r="M38" s="8"/>
    </row>
  </sheetData>
  <sheetProtection sheet="1" objects="1" scenarios="1" selectLockedCells="1"/>
  <mergeCells count="7">
    <mergeCell ref="O1:O2"/>
    <mergeCell ref="N1:N2"/>
    <mergeCell ref="M1:M2"/>
    <mergeCell ref="A1:A2"/>
    <mergeCell ref="B1:C1"/>
    <mergeCell ref="D1:F1"/>
    <mergeCell ref="G1:L1"/>
  </mergeCells>
  <printOptions/>
  <pageMargins left="0.75" right="0.75" top="1" bottom="1" header="0.5" footer="0.5"/>
  <pageSetup fitToHeight="1" fitToWidth="1" horizontalDpi="600" verticalDpi="600" orientation="landscape"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Рабочий журнал "Прогнозирование" : Проведение оценки распространенности и прогнозирование эпидемии ВИЧ/СПИД в странах с эпидемиями низкого уровня и концентрированными эпидемиями</dc:title>
  <dc:subject/>
  <dc:creator>JS</dc:creator>
  <cp:keywords/>
  <dc:description>The projection workbook model is the second step in a three step process for estimating and projecting HIV/AIDS in countries with a low-level or concentrated epidemic. It is designed so that you can make an epidemic curve for the national estimate of prevalence over time, which could include making a short-term projections.</dc:description>
  <cp:lastModifiedBy>Distinguished User</cp:lastModifiedBy>
  <cp:lastPrinted>2003-10-10T12:54:32Z</cp:lastPrinted>
  <dcterms:created xsi:type="dcterms:W3CDTF">2002-03-26T22:53:02Z</dcterms:created>
  <dcterms:modified xsi:type="dcterms:W3CDTF">2003-11-07T13:42:24Z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-274244748</vt:i4>
  </property>
  <property fmtid="{D5CDD505-2E9C-101B-9397-08002B2CF9AE}" pid="3" name="_EmailSubject">
    <vt:lpwstr>Adjusted spreadsheet</vt:lpwstr>
  </property>
  <property fmtid="{D5CDD505-2E9C-101B-9397-08002B2CF9AE}" pid="4" name="_AuthorEmailDisplayName">
    <vt:lpwstr>Stanecki, Karen</vt:lpwstr>
  </property>
  <property fmtid="{D5CDD505-2E9C-101B-9397-08002B2CF9AE}" pid="5" name="_PreviousAdHocReviewCycleID">
    <vt:i4>1257129858</vt:i4>
  </property>
  <property fmtid="{D5CDD505-2E9C-101B-9397-08002B2CF9AE}" pid="6" name="_AuthorEmail">
    <vt:lpwstr>StaneckiK@unaids.org</vt:lpwstr>
  </property>
  <property fmtid="{D5CDD505-2E9C-101B-9397-08002B2CF9AE}" pid="7" name="_ReviewingToolsShownOnce">
    <vt:lpwstr/>
  </property>
  <property fmtid="{D5CDD505-2E9C-101B-9397-08002B2CF9AE}" pid="8" name="AllowedToView">
    <vt:lpwstr>Public</vt:lpwstr>
  </property>
  <property fmtid="{D5CDD505-2E9C-101B-9397-08002B2CF9AE}" pid="9" name="DateOfPublication">
    <vt:filetime>2003-11-18T12:00:00Z</vt:filetime>
  </property>
  <property fmtid="{D5CDD505-2E9C-101B-9397-08002B2CF9AE}" pid="10" name="IntendedUse">
    <vt:lpwstr>UNAIDS Publication</vt:lpwstr>
  </property>
  <property fmtid="{D5CDD505-2E9C-101B-9397-08002B2CF9AE}" pid="11" name="Format">
    <vt:lpwstr>Electronic</vt:lpwstr>
  </property>
</Properties>
</file>