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65" windowHeight="8145" tabRatio="868" firstSheet="4" activeTab="17"/>
  </bookViews>
  <sheets>
    <sheet name="Spectrum data" sheetId="1" state="hidden" r:id="rId1"/>
    <sheet name="LogisticFit" sheetId="2" r:id="rId2"/>
    <sheet name="ProjPays" sheetId="3" r:id="rId3"/>
    <sheet name="ProjRemaining" sheetId="4" r:id="rId4"/>
    <sheet name="Proj1" sheetId="5" r:id="rId5"/>
    <sheet name="Proj2" sheetId="6" r:id="rId6"/>
    <sheet name="Proj3" sheetId="7" r:id="rId7"/>
    <sheet name="Proj4" sheetId="8" r:id="rId8"/>
    <sheet name="Proj5" sheetId="9" r:id="rId9"/>
    <sheet name="Proj6" sheetId="10" state="hidden" r:id="rId10"/>
    <sheet name="Proj7" sheetId="11" state="hidden" r:id="rId11"/>
    <sheet name="Proj8" sheetId="12" state="hidden" r:id="rId12"/>
    <sheet name="Proj9" sheetId="13" state="hidden" r:id="rId13"/>
    <sheet name="Proj10" sheetId="14" state="hidden" r:id="rId14"/>
    <sheet name="RegNotes" sheetId="15" r:id="rId15"/>
    <sheet name="Notes" sheetId="16" r:id="rId16"/>
    <sheet name="Vue d'ensemble" sheetId="17" r:id="rId17"/>
    <sheet name="Installation" sheetId="18" r:id="rId18"/>
    <sheet name="Pays" sheetId="19" r:id="rId19"/>
    <sheet name="R0" sheetId="20" r:id="rId20"/>
    <sheet name="R1" sheetId="21" r:id="rId21"/>
    <sheet name="R2" sheetId="22" r:id="rId22"/>
    <sheet name="R3" sheetId="23" r:id="rId23"/>
    <sheet name="R4" sheetId="24" r:id="rId24"/>
    <sheet name="R5" sheetId="25" r:id="rId25"/>
    <sheet name="R6" sheetId="26" state="hidden" r:id="rId26"/>
    <sheet name="R7" sheetId="27" state="hidden" r:id="rId27"/>
    <sheet name="R8" sheetId="28" state="hidden" r:id="rId28"/>
    <sheet name="R9" sheetId="29" state="hidden" r:id="rId29"/>
    <sheet name="R10" sheetId="30" state="hidden" r:id="rId30"/>
  </sheets>
  <definedNames>
    <definedName name="Adult_Pop">'Installation'!$C$8</definedName>
    <definedName name="_xlnm.Print_Area" localSheetId="1">'LogisticFit'!$A$1:$AJ$29</definedName>
    <definedName name="_xlnm.Print_Area" localSheetId="18">'Pays'!$A$1:$M$69</definedName>
    <definedName name="_xlnm.Print_Area" localSheetId="2">'ProjPays'!$A$1:$P$28</definedName>
    <definedName name="_xlnm.Print_Area" localSheetId="3">'ProjRemaining'!$A$1:$L$28</definedName>
    <definedName name="_xlnm.Print_Area" localSheetId="0">'Spectrum data'!$A$1:$M$33</definedName>
    <definedName name="_xlnm.Print_Area" localSheetId="16">'Vue d''ensemble'!$A$1:$W$70</definedName>
    <definedName name="solver_adj" localSheetId="4" hidden="1">'Proj1'!$F$2:$F$4</definedName>
    <definedName name="solver_adj" localSheetId="13" hidden="1">'Proj10'!$F$2:$F$4</definedName>
    <definedName name="solver_adj" localSheetId="5" hidden="1">'Proj2'!$F$2:$F$4</definedName>
    <definedName name="solver_adj" localSheetId="6" hidden="1">'Proj3'!$F$2:$F$4</definedName>
    <definedName name="solver_adj" localSheetId="7" hidden="1">'Proj4'!$F$2:$F$4</definedName>
    <definedName name="solver_adj" localSheetId="8" hidden="1">'Proj5'!$F$2:$F$4</definedName>
    <definedName name="solver_adj" localSheetId="9" hidden="1">'Proj6'!$F$2:$F$4</definedName>
    <definedName name="solver_adj" localSheetId="10" hidden="1">'Proj7'!$F$2:$F$4</definedName>
    <definedName name="solver_adj" localSheetId="11" hidden="1">'Proj8'!$F$2:$F$4</definedName>
    <definedName name="solver_adj" localSheetId="12" hidden="1">'Proj9'!$F$2:$F$4</definedName>
    <definedName name="solver_adj" localSheetId="2" hidden="1">'ProjPays'!$F$2:$F$4</definedName>
    <definedName name="solver_adj" localSheetId="3" hidden="1">'ProjRemaining'!$F$2:$F$4</definedName>
    <definedName name="solver_cvg" localSheetId="4" hidden="1">0.0001</definedName>
    <definedName name="solver_cvg" localSheetId="13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13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13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13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itr" localSheetId="12" hidden="1">100</definedName>
    <definedName name="solver_itr" localSheetId="2" hidden="1">100</definedName>
    <definedName name="solver_itr" localSheetId="3" hidden="1">100</definedName>
    <definedName name="solver_lhs1" localSheetId="4" hidden="1">'Proj1'!$F$5</definedName>
    <definedName name="solver_lhs1" localSheetId="13" hidden="1">'Proj10'!$F$3</definedName>
    <definedName name="solver_lhs1" localSheetId="5" hidden="1">'Proj2'!$F$5</definedName>
    <definedName name="solver_lhs1" localSheetId="6" hidden="1">'Proj3'!$F$5</definedName>
    <definedName name="solver_lhs1" localSheetId="7" hidden="1">'Proj4'!$F$5</definedName>
    <definedName name="solver_lhs1" localSheetId="8" hidden="1">'Proj5'!$F$5</definedName>
    <definedName name="solver_lhs1" localSheetId="9" hidden="1">'Proj6'!$F$5</definedName>
    <definedName name="solver_lhs1" localSheetId="10" hidden="1">'Proj7'!$F$3</definedName>
    <definedName name="solver_lhs1" localSheetId="11" hidden="1">'Proj8'!$F$3</definedName>
    <definedName name="solver_lhs1" localSheetId="12" hidden="1">'Proj9'!$F$3</definedName>
    <definedName name="solver_lhs1" localSheetId="2" hidden="1">'ProjPays'!$F$6</definedName>
    <definedName name="solver_lhs1" localSheetId="3" hidden="1">'ProjRemaining'!$F$3</definedName>
    <definedName name="solver_lhs2" localSheetId="4" hidden="1">'Proj1'!$F$3</definedName>
    <definedName name="solver_lhs2" localSheetId="13" hidden="1">'Proj10'!$F$3</definedName>
    <definedName name="solver_lhs2" localSheetId="5" hidden="1">'Proj2'!$F$3</definedName>
    <definedName name="solver_lhs2" localSheetId="6" hidden="1">'Proj3'!$F$3</definedName>
    <definedName name="solver_lhs2" localSheetId="7" hidden="1">'Proj4'!$F$3</definedName>
    <definedName name="solver_lhs2" localSheetId="8" hidden="1">'Proj5'!$F$3</definedName>
    <definedName name="solver_lhs2" localSheetId="9" hidden="1">'Proj6'!$F$3</definedName>
    <definedName name="solver_lhs2" localSheetId="10" hidden="1">'Proj7'!$F$3</definedName>
    <definedName name="solver_lhs2" localSheetId="11" hidden="1">'Proj8'!$F$3</definedName>
    <definedName name="solver_lhs2" localSheetId="12" hidden="1">'Proj9'!$F$3</definedName>
    <definedName name="solver_lhs2" localSheetId="2" hidden="1">'ProjPays'!$F$3</definedName>
    <definedName name="solver_lhs2" localSheetId="3" hidden="1">'ProjRemaining'!$F$4</definedName>
    <definedName name="solver_lhs3" localSheetId="4" hidden="1">'Proj1'!$F$3</definedName>
    <definedName name="solver_lhs3" localSheetId="13" hidden="1">'Proj10'!$F$4</definedName>
    <definedName name="solver_lhs3" localSheetId="5" hidden="1">'Proj2'!$F$3</definedName>
    <definedName name="solver_lhs3" localSheetId="6" hidden="1">'Proj3'!$F$3</definedName>
    <definedName name="solver_lhs3" localSheetId="7" hidden="1">'Proj4'!$F$3</definedName>
    <definedName name="solver_lhs3" localSheetId="8" hidden="1">'Proj5'!$F$3</definedName>
    <definedName name="solver_lhs3" localSheetId="9" hidden="1">'Proj6'!$F$3</definedName>
    <definedName name="solver_lhs3" localSheetId="10" hidden="1">'Proj7'!$F$4</definedName>
    <definedName name="solver_lhs3" localSheetId="11" hidden="1">'Proj8'!$F$4</definedName>
    <definedName name="solver_lhs3" localSheetId="12" hidden="1">'Proj9'!$F$4</definedName>
    <definedName name="solver_lhs3" localSheetId="2" hidden="1">'ProjPays'!$F$3</definedName>
    <definedName name="solver_lhs3" localSheetId="3" hidden="1">'ProjRemaining'!$F$5</definedName>
    <definedName name="solver_lhs4" localSheetId="4" hidden="1">'Proj1'!$F$4</definedName>
    <definedName name="solver_lhs4" localSheetId="13" hidden="1">'Proj10'!$F$4</definedName>
    <definedName name="solver_lhs4" localSheetId="5" hidden="1">'Proj2'!$F$4</definedName>
    <definedName name="solver_lhs4" localSheetId="6" hidden="1">'Proj3'!$F$4</definedName>
    <definedName name="solver_lhs4" localSheetId="7" hidden="1">'Proj4'!$F$4</definedName>
    <definedName name="solver_lhs4" localSheetId="8" hidden="1">'Proj5'!$F$4</definedName>
    <definedName name="solver_lhs4" localSheetId="9" hidden="1">'Proj6'!$F$4</definedName>
    <definedName name="solver_lhs4" localSheetId="10" hidden="1">'Proj7'!$F$4</definedName>
    <definedName name="solver_lhs4" localSheetId="11" hidden="1">'Proj8'!$E$4</definedName>
    <definedName name="solver_lhs4" localSheetId="12" hidden="1">'Proj9'!$F$4</definedName>
    <definedName name="solver_lhs4" localSheetId="2" hidden="1">'ProjPays'!$F$4</definedName>
    <definedName name="solver_lhs4" localSheetId="3" hidden="1">'ProjRemaining'!$F$6</definedName>
    <definedName name="solver_lhs5" localSheetId="4" hidden="1">'Proj1'!$F$6</definedName>
    <definedName name="solver_lhs5" localSheetId="13" hidden="1">'Proj10'!$F$5</definedName>
    <definedName name="solver_lhs5" localSheetId="5" hidden="1">'Proj2'!$F$4</definedName>
    <definedName name="solver_lhs5" localSheetId="6" hidden="1">'Proj3'!$F$4</definedName>
    <definedName name="solver_lhs5" localSheetId="7" hidden="1">'Proj4'!$F$4</definedName>
    <definedName name="solver_lhs5" localSheetId="8" hidden="1">'Proj5'!$F$4</definedName>
    <definedName name="solver_lhs5" localSheetId="9" hidden="1">'Proj6'!$F$4</definedName>
    <definedName name="solver_lhs5" localSheetId="10" hidden="1">'Proj7'!$F$5</definedName>
    <definedName name="solver_lhs5" localSheetId="11" hidden="1">'Proj8'!$F$5</definedName>
    <definedName name="solver_lhs5" localSheetId="12" hidden="1">'Proj9'!$F$5</definedName>
    <definedName name="solver_lhs5" localSheetId="2" hidden="1">'ProjPays'!$J$2</definedName>
    <definedName name="solver_lhs5" localSheetId="3" hidden="1">'ProjRemaining'!$F$3</definedName>
    <definedName name="solver_lhs6" localSheetId="4" hidden="1">'Proj1'!$F$4</definedName>
    <definedName name="solver_lhs6" localSheetId="13" hidden="1">'Proj10'!$F$6</definedName>
    <definedName name="solver_lhs6" localSheetId="5" hidden="1">'Proj2'!$F$6</definedName>
    <definedName name="solver_lhs6" localSheetId="6" hidden="1">'Proj3'!$F$6</definedName>
    <definedName name="solver_lhs6" localSheetId="7" hidden="1">'Proj4'!$F$6</definedName>
    <definedName name="solver_lhs6" localSheetId="8" hidden="1">'Proj5'!$F$6</definedName>
    <definedName name="solver_lhs6" localSheetId="9" hidden="1">'Proj6'!$F$6</definedName>
    <definedName name="solver_lhs6" localSheetId="10" hidden="1">'Proj7'!$F$6</definedName>
    <definedName name="solver_lhs6" localSheetId="11" hidden="1">'Proj8'!$F$6</definedName>
    <definedName name="solver_lhs6" localSheetId="12" hidden="1">'Proj9'!$F$6</definedName>
    <definedName name="solver_lhs6" localSheetId="2" hidden="1">'ProjPays'!$F$4</definedName>
    <definedName name="solver_lhs6" localSheetId="3" hidden="1">'ProjRemaining'!$F$4</definedName>
    <definedName name="solver_lhs7" localSheetId="4" hidden="1">'Proj1'!$J$2</definedName>
    <definedName name="solver_lhs7" localSheetId="13" hidden="1">'Proj10'!$J$2</definedName>
    <definedName name="solver_lhs7" localSheetId="5" hidden="1">'Proj2'!$J$2</definedName>
    <definedName name="solver_lhs7" localSheetId="6" hidden="1">'Proj3'!$J$2</definedName>
    <definedName name="solver_lhs7" localSheetId="7" hidden="1">'Proj4'!$J$2</definedName>
    <definedName name="solver_lhs7" localSheetId="8" hidden="1">'Proj5'!$J$2</definedName>
    <definedName name="solver_lhs7" localSheetId="9" hidden="1">'Proj6'!$J$2</definedName>
    <definedName name="solver_lhs7" localSheetId="10" hidden="1">'Proj7'!$J$2</definedName>
    <definedName name="solver_lhs7" localSheetId="11" hidden="1">'Proj8'!$J$2</definedName>
    <definedName name="solver_lhs7" localSheetId="12" hidden="1">'Proj9'!$J$2</definedName>
    <definedName name="solver_lhs7" localSheetId="2" hidden="1">'ProjPays'!$F$5</definedName>
    <definedName name="solver_lhs7" localSheetId="3" hidden="1">'ProjRemaining'!$J$2</definedName>
    <definedName name="solver_lhs8" localSheetId="4" hidden="1">'Proj1'!$F$3</definedName>
    <definedName name="solver_lhs8" localSheetId="2" hidden="1">'ProjPays'!$J$2</definedName>
    <definedName name="solver_lhs9" localSheetId="2" hidden="1">'LogisticFit'!$C$4</definedName>
    <definedName name="solver_lin" localSheetId="4" hidden="1">2</definedName>
    <definedName name="solver_lin" localSheetId="13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in" localSheetId="12" hidden="1">2</definedName>
    <definedName name="solver_lin" localSheetId="2" hidden="1">2</definedName>
    <definedName name="solver_lin" localSheetId="3" hidden="1">2</definedName>
    <definedName name="solver_neg" localSheetId="4" hidden="1">2</definedName>
    <definedName name="solver_neg" localSheetId="13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eg" localSheetId="12" hidden="1">2</definedName>
    <definedName name="solver_neg" localSheetId="2" hidden="1">2</definedName>
    <definedName name="solver_neg" localSheetId="3" hidden="1">2</definedName>
    <definedName name="solver_num" localSheetId="4" hidden="1">7</definedName>
    <definedName name="solver_num" localSheetId="13" hidden="1">7</definedName>
    <definedName name="solver_num" localSheetId="5" hidden="1">7</definedName>
    <definedName name="solver_num" localSheetId="6" hidden="1">7</definedName>
    <definedName name="solver_num" localSheetId="7" hidden="1">7</definedName>
    <definedName name="solver_num" localSheetId="8" hidden="1">7</definedName>
    <definedName name="solver_num" localSheetId="9" hidden="1">7</definedName>
    <definedName name="solver_num" localSheetId="10" hidden="1">7</definedName>
    <definedName name="solver_num" localSheetId="11" hidden="1">7</definedName>
    <definedName name="solver_num" localSheetId="12" hidden="1">7</definedName>
    <definedName name="solver_num" localSheetId="2" hidden="1">7</definedName>
    <definedName name="solver_num" localSheetId="3" hidden="1">7</definedName>
    <definedName name="solver_nwt" localSheetId="4" hidden="1">1</definedName>
    <definedName name="solver_nwt" localSheetId="13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2" hidden="1">1</definedName>
    <definedName name="solver_nwt" localSheetId="3" hidden="1">1</definedName>
    <definedName name="solver_opt" localSheetId="4" hidden="1">'Proj1'!$F$7</definedName>
    <definedName name="solver_opt" localSheetId="13" hidden="1">'Proj10'!$F$7</definedName>
    <definedName name="solver_opt" localSheetId="5" hidden="1">'Proj2'!$F$7</definedName>
    <definedName name="solver_opt" localSheetId="6" hidden="1">'Proj3'!$F$7</definedName>
    <definedName name="solver_opt" localSheetId="7" hidden="1">'Proj4'!$F$7</definedName>
    <definedName name="solver_opt" localSheetId="8" hidden="1">'Proj5'!$F$7</definedName>
    <definedName name="solver_opt" localSheetId="9" hidden="1">'Proj6'!$F$7</definedName>
    <definedName name="solver_opt" localSheetId="10" hidden="1">'Proj7'!$F$7</definedName>
    <definedName name="solver_opt" localSheetId="11" hidden="1">'Proj8'!$F$7</definedName>
    <definedName name="solver_opt" localSheetId="12" hidden="1">'Proj9'!$F$7</definedName>
    <definedName name="solver_opt" localSheetId="2" hidden="1">'ProjPays'!$F$7</definedName>
    <definedName name="solver_opt" localSheetId="3" hidden="1">'ProjRemaining'!$F$7</definedName>
    <definedName name="solver_pre" localSheetId="4" hidden="1">0.000001</definedName>
    <definedName name="solver_pre" localSheetId="13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2" hidden="1">0.000001</definedName>
    <definedName name="solver_pre" localSheetId="3" hidden="1">0.000001</definedName>
    <definedName name="solver_rel1" localSheetId="4" hidden="1">3</definedName>
    <definedName name="solver_rel1" localSheetId="13" hidden="1">3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1" localSheetId="8" hidden="1">3</definedName>
    <definedName name="solver_rel1" localSheetId="9" hidden="1">3</definedName>
    <definedName name="solver_rel1" localSheetId="10" hidden="1">3</definedName>
    <definedName name="solver_rel1" localSheetId="11" hidden="1">3</definedName>
    <definedName name="solver_rel1" localSheetId="12" hidden="1">3</definedName>
    <definedName name="solver_rel1" localSheetId="2" hidden="1">3</definedName>
    <definedName name="solver_rel1" localSheetId="3" hidden="1">3</definedName>
    <definedName name="solver_rel2" localSheetId="4" hidden="1">3</definedName>
    <definedName name="solver_rel2" localSheetId="13" hidden="1">3</definedName>
    <definedName name="solver_rel2" localSheetId="5" hidden="1">3</definedName>
    <definedName name="solver_rel2" localSheetId="6" hidden="1">3</definedName>
    <definedName name="solver_rel2" localSheetId="7" hidden="1">3</definedName>
    <definedName name="solver_rel2" localSheetId="8" hidden="1">3</definedName>
    <definedName name="solver_rel2" localSheetId="9" hidden="1">3</definedName>
    <definedName name="solver_rel2" localSheetId="10" hidden="1">3</definedName>
    <definedName name="solver_rel2" localSheetId="11" hidden="1">3</definedName>
    <definedName name="solver_rel2" localSheetId="12" hidden="1">3</definedName>
    <definedName name="solver_rel2" localSheetId="2" hidden="1">3</definedName>
    <definedName name="solver_rel2" localSheetId="3" hidden="1">3</definedName>
    <definedName name="solver_rel3" localSheetId="4" hidden="1">3</definedName>
    <definedName name="solver_rel3" localSheetId="13" hidden="1">1</definedName>
    <definedName name="solver_rel3" localSheetId="5" hidden="1">3</definedName>
    <definedName name="solver_rel3" localSheetId="6" hidden="1">3</definedName>
    <definedName name="solver_rel3" localSheetId="7" hidden="1">3</definedName>
    <definedName name="solver_rel3" localSheetId="8" hidden="1">3</definedName>
    <definedName name="solver_rel3" localSheetId="9" hidden="1">3</definedName>
    <definedName name="solver_rel3" localSheetId="10" hidden="1">1</definedName>
    <definedName name="solver_rel3" localSheetId="11" hidden="1">3</definedName>
    <definedName name="solver_rel3" localSheetId="12" hidden="1">1</definedName>
    <definedName name="solver_rel3" localSheetId="2" hidden="1">3</definedName>
    <definedName name="solver_rel3" localSheetId="3" hidden="1">3</definedName>
    <definedName name="solver_rel4" localSheetId="4" hidden="1">3</definedName>
    <definedName name="solver_rel4" localSheetId="13" hidden="1">3</definedName>
    <definedName name="solver_rel4" localSheetId="5" hidden="1">1</definedName>
    <definedName name="solver_rel4" localSheetId="6" hidden="1">1</definedName>
    <definedName name="solver_rel4" localSheetId="7" hidden="1">1</definedName>
    <definedName name="solver_rel4" localSheetId="8" hidden="1">1</definedName>
    <definedName name="solver_rel4" localSheetId="9" hidden="1">1</definedName>
    <definedName name="solver_rel4" localSheetId="10" hidden="1">3</definedName>
    <definedName name="solver_rel4" localSheetId="11" hidden="1">1</definedName>
    <definedName name="solver_rel4" localSheetId="12" hidden="1">3</definedName>
    <definedName name="solver_rel4" localSheetId="2" hidden="1">1</definedName>
    <definedName name="solver_rel4" localSheetId="3" hidden="1">3</definedName>
    <definedName name="solver_rel5" localSheetId="4" hidden="1">3</definedName>
    <definedName name="solver_rel5" localSheetId="13" hidden="1">3</definedName>
    <definedName name="solver_rel5" localSheetId="5" hidden="1">3</definedName>
    <definedName name="solver_rel5" localSheetId="6" hidden="1">3</definedName>
    <definedName name="solver_rel5" localSheetId="7" hidden="1">3</definedName>
    <definedName name="solver_rel5" localSheetId="8" hidden="1">3</definedName>
    <definedName name="solver_rel5" localSheetId="9" hidden="1">3</definedName>
    <definedName name="solver_rel5" localSheetId="10" hidden="1">3</definedName>
    <definedName name="solver_rel5" localSheetId="11" hidden="1">3</definedName>
    <definedName name="solver_rel5" localSheetId="12" hidden="1">3</definedName>
    <definedName name="solver_rel5" localSheetId="2" hidden="1">1</definedName>
    <definedName name="solver_rel5" localSheetId="3" hidden="1">3</definedName>
    <definedName name="solver_rel6" localSheetId="4" hidden="1">1</definedName>
    <definedName name="solver_rel6" localSheetId="13" hidden="1">3</definedName>
    <definedName name="solver_rel6" localSheetId="5" hidden="1">3</definedName>
    <definedName name="solver_rel6" localSheetId="6" hidden="1">3</definedName>
    <definedName name="solver_rel6" localSheetId="7" hidden="1">3</definedName>
    <definedName name="solver_rel6" localSheetId="8" hidden="1">3</definedName>
    <definedName name="solver_rel6" localSheetId="9" hidden="1">3</definedName>
    <definedName name="solver_rel6" localSheetId="10" hidden="1">3</definedName>
    <definedName name="solver_rel6" localSheetId="11" hidden="1">3</definedName>
    <definedName name="solver_rel6" localSheetId="12" hidden="1">3</definedName>
    <definedName name="solver_rel6" localSheetId="2" hidden="1">3</definedName>
    <definedName name="solver_rel6" localSheetId="3" hidden="1">1</definedName>
    <definedName name="solver_rel7" localSheetId="4" hidden="1">1</definedName>
    <definedName name="solver_rel7" localSheetId="13" hidden="1">1</definedName>
    <definedName name="solver_rel7" localSheetId="5" hidden="1">1</definedName>
    <definedName name="solver_rel7" localSheetId="6" hidden="1">1</definedName>
    <definedName name="solver_rel7" localSheetId="7" hidden="1">1</definedName>
    <definedName name="solver_rel7" localSheetId="8" hidden="1">1</definedName>
    <definedName name="solver_rel7" localSheetId="9" hidden="1">1</definedName>
    <definedName name="solver_rel7" localSheetId="10" hidden="1">1</definedName>
    <definedName name="solver_rel7" localSheetId="11" hidden="1">1</definedName>
    <definedName name="solver_rel7" localSheetId="12" hidden="1">1</definedName>
    <definedName name="solver_rel7" localSheetId="2" hidden="1">3</definedName>
    <definedName name="solver_rel7" localSheetId="3" hidden="1">1</definedName>
    <definedName name="solver_rel8" localSheetId="4" hidden="1">3</definedName>
    <definedName name="solver_rel8" localSheetId="2" hidden="1">1</definedName>
    <definedName name="solver_rel9" localSheetId="2" hidden="1">1</definedName>
    <definedName name="solver_rhs1" localSheetId="4" hidden="1">0</definedName>
    <definedName name="solver_rhs1" localSheetId="13" hidden="1">'Proj10'!$F$5</definedName>
    <definedName name="solver_rhs1" localSheetId="5" hidden="1">0</definedName>
    <definedName name="solver_rhs1" localSheetId="6" hidden="1">0</definedName>
    <definedName name="solver_rhs1" localSheetId="7" hidden="1">0</definedName>
    <definedName name="solver_rhs1" localSheetId="8" hidden="1">0</definedName>
    <definedName name="solver_rhs1" localSheetId="9" hidden="1">0</definedName>
    <definedName name="solver_rhs1" localSheetId="10" hidden="1">'Proj7'!$F$5</definedName>
    <definedName name="solver_rhs1" localSheetId="11" hidden="1">'Proj8'!$F$5</definedName>
    <definedName name="solver_rhs1" localSheetId="12" hidden="1">'Proj9'!$F$5</definedName>
    <definedName name="solver_rhs1" localSheetId="2" hidden="1">0</definedName>
    <definedName name="solver_rhs1" localSheetId="3" hidden="1">0</definedName>
    <definedName name="solver_rhs2" localSheetId="4" hidden="1">'Proj1'!$F$5</definedName>
    <definedName name="solver_rhs2" localSheetId="13" hidden="1">0</definedName>
    <definedName name="solver_rhs2" localSheetId="5" hidden="1">'Proj2'!$F$5</definedName>
    <definedName name="solver_rhs2" localSheetId="6" hidden="1">'Proj3'!$F$5</definedName>
    <definedName name="solver_rhs2" localSheetId="7" hidden="1">'Proj4'!$F$5</definedName>
    <definedName name="solver_rhs2" localSheetId="8" hidden="1">'Proj5'!$F$5</definedName>
    <definedName name="solver_rhs2" localSheetId="9" hidden="1">'Proj6'!$F$5</definedName>
    <definedName name="solver_rhs2" localSheetId="10" hidden="1">0</definedName>
    <definedName name="solver_rhs2" localSheetId="11" hidden="1">0</definedName>
    <definedName name="solver_rhs2" localSheetId="12" hidden="1">0</definedName>
    <definedName name="solver_rhs2" localSheetId="2" hidden="1">'ProjPays'!$F$5</definedName>
    <definedName name="solver_rhs2" localSheetId="3" hidden="1">0</definedName>
    <definedName name="solver_rhs3" localSheetId="4" hidden="1">0</definedName>
    <definedName name="solver_rhs3" localSheetId="13" hidden="1">1.4</definedName>
    <definedName name="solver_rhs3" localSheetId="5" hidden="1">0</definedName>
    <definedName name="solver_rhs3" localSheetId="6" hidden="1">0</definedName>
    <definedName name="solver_rhs3" localSheetId="7" hidden="1">0</definedName>
    <definedName name="solver_rhs3" localSheetId="8" hidden="1">0</definedName>
    <definedName name="solver_rhs3" localSheetId="9" hidden="1">0</definedName>
    <definedName name="solver_rhs3" localSheetId="10" hidden="1">1.4</definedName>
    <definedName name="solver_rhs3" localSheetId="11" hidden="1">0</definedName>
    <definedName name="solver_rhs3" localSheetId="12" hidden="1">1.4</definedName>
    <definedName name="solver_rhs3" localSheetId="2" hidden="1">0</definedName>
    <definedName name="solver_rhs3" localSheetId="3" hidden="1">0</definedName>
    <definedName name="solver_rhs4" localSheetId="4" hidden="1">0</definedName>
    <definedName name="solver_rhs4" localSheetId="13" hidden="1">0</definedName>
    <definedName name="solver_rhs4" localSheetId="5" hidden="1">1.4</definedName>
    <definedName name="solver_rhs4" localSheetId="6" hidden="1">1.4</definedName>
    <definedName name="solver_rhs4" localSheetId="7" hidden="1">1.4</definedName>
    <definedName name="solver_rhs4" localSheetId="8" hidden="1">1.4</definedName>
    <definedName name="solver_rhs4" localSheetId="9" hidden="1">1.4</definedName>
    <definedName name="solver_rhs4" localSheetId="10" hidden="1">0</definedName>
    <definedName name="solver_rhs4" localSheetId="11" hidden="1">1.4</definedName>
    <definedName name="solver_rhs4" localSheetId="12" hidden="1">0</definedName>
    <definedName name="solver_rhs4" localSheetId="2" hidden="1">1.4</definedName>
    <definedName name="solver_rhs4" localSheetId="3" hidden="1">0</definedName>
    <definedName name="solver_rhs5" localSheetId="4" hidden="1">0</definedName>
    <definedName name="solver_rhs5" localSheetId="13" hidden="1">0</definedName>
    <definedName name="solver_rhs5" localSheetId="5" hidden="1">0</definedName>
    <definedName name="solver_rhs5" localSheetId="6" hidden="1">0</definedName>
    <definedName name="solver_rhs5" localSheetId="7" hidden="1">0</definedName>
    <definedName name="solver_rhs5" localSheetId="8" hidden="1">0</definedName>
    <definedName name="solver_rhs5" localSheetId="9" hidden="1">0</definedName>
    <definedName name="solver_rhs5" localSheetId="10" hidden="1">0</definedName>
    <definedName name="solver_rhs5" localSheetId="11" hidden="1">0</definedName>
    <definedName name="solver_rhs5" localSheetId="12" hidden="1">0</definedName>
    <definedName name="solver_rhs5" localSheetId="2" hidden="1">0.0001</definedName>
    <definedName name="solver_rhs5" localSheetId="3" hidden="1">'ProjRemaining'!$F$5</definedName>
    <definedName name="solver_rhs6" localSheetId="4" hidden="1">1.4</definedName>
    <definedName name="solver_rhs6" localSheetId="13" hidden="1">0</definedName>
    <definedName name="solver_rhs6" localSheetId="5" hidden="1">0</definedName>
    <definedName name="solver_rhs6" localSheetId="6" hidden="1">0</definedName>
    <definedName name="solver_rhs6" localSheetId="7" hidden="1">0</definedName>
    <definedName name="solver_rhs6" localSheetId="8" hidden="1">0</definedName>
    <definedName name="solver_rhs6" localSheetId="9" hidden="1">0</definedName>
    <definedName name="solver_rhs6" localSheetId="10" hidden="1">0</definedName>
    <definedName name="solver_rhs6" localSheetId="11" hidden="1">0</definedName>
    <definedName name="solver_rhs6" localSheetId="12" hidden="1">0</definedName>
    <definedName name="solver_rhs6" localSheetId="2" hidden="1">0</definedName>
    <definedName name="solver_rhs6" localSheetId="3" hidden="1">1.4</definedName>
    <definedName name="solver_rhs7" localSheetId="4" hidden="1">0.0001</definedName>
    <definedName name="solver_rhs7" localSheetId="13" hidden="1">0.0001</definedName>
    <definedName name="solver_rhs7" localSheetId="5" hidden="1">0.0001</definedName>
    <definedName name="solver_rhs7" localSheetId="6" hidden="1">0.0001</definedName>
    <definedName name="solver_rhs7" localSheetId="7" hidden="1">0.0001</definedName>
    <definedName name="solver_rhs7" localSheetId="8" hidden="1">0.0001</definedName>
    <definedName name="solver_rhs7" localSheetId="9" hidden="1">0.0001</definedName>
    <definedName name="solver_rhs7" localSheetId="10" hidden="1">0.0001</definedName>
    <definedName name="solver_rhs7" localSheetId="11" hidden="1">0.0001</definedName>
    <definedName name="solver_rhs7" localSheetId="12" hidden="1">0.0001</definedName>
    <definedName name="solver_rhs7" localSheetId="2" hidden="1">0</definedName>
    <definedName name="solver_rhs7" localSheetId="3" hidden="1">0.0001</definedName>
    <definedName name="solver_rhs8" localSheetId="4" hidden="1">'Proj1'!$F$5</definedName>
    <definedName name="solver_rhs8" localSheetId="2" hidden="1">0.0001</definedName>
    <definedName name="solver_rhs9" localSheetId="2" hidden="1">0.0001</definedName>
    <definedName name="solver_scl" localSheetId="4" hidden="1">2</definedName>
    <definedName name="solver_scl" localSheetId="13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13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13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im" localSheetId="12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13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ol" localSheetId="12" hidden="1">0.05</definedName>
    <definedName name="solver_tol" localSheetId="2" hidden="1">0.05</definedName>
    <definedName name="solver_tol" localSheetId="3" hidden="1">0.05</definedName>
    <definedName name="solver_typ" localSheetId="4" hidden="1">2</definedName>
    <definedName name="solver_typ" localSheetId="13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2" hidden="1">2</definedName>
    <definedName name="solver_typ" localSheetId="3" hidden="1">2</definedName>
    <definedName name="solver_val" localSheetId="4" hidden="1">0</definedName>
    <definedName name="solver_val" localSheetId="13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<sst xmlns="http://schemas.openxmlformats.org/spreadsheetml/2006/main" count="1991" uniqueCount="304">
  <si>
    <t>Number of women Infected</t>
  </si>
  <si>
    <t>Percent (%) of infected who are women</t>
  </si>
  <si>
    <t>Partners of IDU</t>
  </si>
  <si>
    <t>Optional LR1</t>
  </si>
  <si>
    <t>Optional LR2</t>
  </si>
  <si>
    <t>(Low Population x Low Prevalence)</t>
  </si>
  <si>
    <t>(Low Population x High Prevalence)</t>
  </si>
  <si>
    <t>(High Population x Low Prevalence)</t>
  </si>
  <si>
    <t>(High Population x High Prevalence)</t>
  </si>
  <si>
    <t>Low</t>
  </si>
  <si>
    <t>High</t>
  </si>
  <si>
    <t xml:space="preserve">High </t>
  </si>
  <si>
    <t>2.  Populations at lower risk (PLR) that are not already included in PHR</t>
  </si>
  <si>
    <t>Urban female low risk pop</t>
  </si>
  <si>
    <t>Rural female low risk pop</t>
  </si>
  <si>
    <t>Partners of Clients of Sex workers</t>
  </si>
  <si>
    <t>Female partners of MSM</t>
  </si>
  <si>
    <t>Optional LR3</t>
  </si>
  <si>
    <t>Pop Size Estimates Female Low</t>
  </si>
  <si>
    <t>Pop Size Estimates Female High</t>
  </si>
  <si>
    <t>Percent (%) female in risk group</t>
  </si>
  <si>
    <t>Method B: ANC data applied to low risk women</t>
  </si>
  <si>
    <t>Method A: Partners of high risk populations</t>
  </si>
  <si>
    <t>Female statistics</t>
  </si>
  <si>
    <t>Average number of adults living with HIV</t>
  </si>
  <si>
    <t>Sub-total</t>
  </si>
  <si>
    <t>HIV prevalence Estimate (%)</t>
  </si>
  <si>
    <t>Population Size Estimate</t>
  </si>
  <si>
    <t>Estimates of adults living with HIV/AIDS</t>
  </si>
  <si>
    <t>population</t>
  </si>
  <si>
    <t>National</t>
  </si>
  <si>
    <t>Adult prevalence</t>
  </si>
  <si>
    <t>year</t>
  </si>
  <si>
    <t>SS</t>
  </si>
  <si>
    <t>prev-fit</t>
  </si>
  <si>
    <t>prev?</t>
  </si>
  <si>
    <t>Projection</t>
  </si>
  <si>
    <t>count</t>
  </si>
  <si>
    <t>name</t>
  </si>
  <si>
    <t>proportion IDU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</si>
  <si>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</si>
  <si>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</si>
  <si>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</si>
  <si>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</si>
  <si>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</si>
  <si>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</si>
  <si>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</si>
  <si>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</si>
  <si>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</si>
  <si>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</si>
  <si>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sheet</t>
  </si>
  <si>
    <t>ProjNational</t>
  </si>
  <si>
    <t>Proj1</t>
  </si>
  <si>
    <t>Proj0</t>
  </si>
  <si>
    <t>Proj2</t>
  </si>
  <si>
    <t>Proj3</t>
  </si>
  <si>
    <t>Proj4</t>
  </si>
  <si>
    <t>Proj5</t>
  </si>
  <si>
    <t>Proj6</t>
  </si>
  <si>
    <t>a</t>
  </si>
  <si>
    <t>alpha</t>
  </si>
  <si>
    <t>b</t>
  </si>
  <si>
    <t>beta</t>
  </si>
  <si>
    <t>t</t>
  </si>
  <si>
    <t>Notes</t>
  </si>
  <si>
    <t>Proj7</t>
  </si>
  <si>
    <t>Proj8</t>
  </si>
  <si>
    <t>Proj9</t>
  </si>
  <si>
    <t>Proj10</t>
  </si>
  <si>
    <t>Default groups</t>
  </si>
  <si>
    <t>Source</t>
  </si>
  <si>
    <t>ProjRemaining</t>
  </si>
  <si>
    <t>Nom de pays</t>
  </si>
  <si>
    <t>Feuillet</t>
  </si>
  <si>
    <t>Modèle</t>
  </si>
  <si>
    <t>Pays</t>
  </si>
  <si>
    <t>Logistique simple</t>
  </si>
  <si>
    <t>Paramètres logistiques</t>
  </si>
  <si>
    <t>Logistique double</t>
  </si>
  <si>
    <t>Année</t>
  </si>
  <si>
    <t>Prévalence VIH (%)</t>
  </si>
  <si>
    <t>Noms de Région</t>
  </si>
  <si>
    <t>Feuilles Région</t>
  </si>
  <si>
    <t>ajust. logist.</t>
  </si>
  <si>
    <t>ProjRestante</t>
  </si>
  <si>
    <t>Modéle</t>
  </si>
  <si>
    <t>Restant</t>
  </si>
  <si>
    <t>Résumé des notes régionales</t>
  </si>
  <si>
    <t>Nom dePays</t>
  </si>
  <si>
    <t>Nom de Pays</t>
  </si>
  <si>
    <t>Fuillet</t>
  </si>
  <si>
    <t xml:space="preserve">Logistique double </t>
  </si>
  <si>
    <t>VIH</t>
  </si>
  <si>
    <t>Les cellules de la feuille de travail sont codées par couleur selon leur fonction.</t>
  </si>
  <si>
    <t>Les cellules vert clair sont facultatives ou devront être réajustées.</t>
  </si>
  <si>
    <t>Les cellules bleu clair doivent être remplies par vous.</t>
  </si>
  <si>
    <t>Les cellules mauves résument la page.</t>
  </si>
  <si>
    <t>Hypothèses</t>
  </si>
  <si>
    <t>On peut décrire la prévalence annuelle au niveau des pays et des régions à partir des sous-épidémies dans les populations soumises à un risque accru ou à un risque moindre.</t>
  </si>
  <si>
    <t>1. Donner la taille de la population 15-49 et le % de population urbaine</t>
  </si>
  <si>
    <t>2. Donner les groupes à risque accru (PHR), une estimation de la taille de ces groupes et les taux de prévalence "hauts" et "bas" pour chaque groupe</t>
  </si>
  <si>
    <t>3. Choisir une des 2 options de calcul pour les estimations VIH chez les personnes à risque moindre (E4 or E5):</t>
  </si>
  <si>
    <t xml:space="preserve">    Méthode A) Partenaires d'individus avec comportement à risque accru [E4], OU</t>
  </si>
  <si>
    <t>Note: On calcule chaque région séparément et on peut donc faire des choix différents dans des régions différentes.</t>
  </si>
  <si>
    <t>ÉTAPES POUR UNE ESTIMATION PAYS</t>
  </si>
  <si>
    <t>1. Inclure nom du pays et année d'estimation.</t>
  </si>
  <si>
    <t>2. Inclure les noms des régions, la taille de la population 15-49 (avec source des données), pourcentage urbain (avec source des données), la source de  vos estimations pour la population et pour la prévalence.</t>
  </si>
  <si>
    <t>Les feuilles de travail contiennent 4 groupes par défaut :</t>
  </si>
  <si>
    <t xml:space="preserve">- Hommes qui ont des rapports sexuels avec des hommes (HSH), </t>
  </si>
  <si>
    <t>- Clients des professionnelles du sexe (Clients)</t>
  </si>
  <si>
    <t>- Professionnelles du sexe (FSW)</t>
  </si>
  <si>
    <t>- Partenaires sexuelles de HSH</t>
  </si>
  <si>
    <t>II. Sur les feuilles régionales (p.ex. "R1", "R2" etc.).</t>
  </si>
  <si>
    <t>I. Page Démarrage</t>
  </si>
  <si>
    <t xml:space="preserve">    Méthode B) Données consultations prénatales appliquées aux femmes à risque moindre [E5].</t>
  </si>
  <si>
    <t xml:space="preserve">    Méthode A) Partenaires de personnes avec comportement à risque accru  [E4], OU</t>
  </si>
  <si>
    <t>et inclure les données pertinentes.</t>
  </si>
  <si>
    <t>III. Sur la feuille Pays</t>
  </si>
  <si>
    <t>- Partenaires des CDI</t>
  </si>
  <si>
    <t>2. Choisir une des deux méthodes que l'on peut utiliser pour calculer les estimations VIH parmi les personnes dont le comportement est à risque moindre:</t>
  </si>
  <si>
    <t>3. Un résumé des estimations VIH apparaîtra sur chaque feuillet régionale aux rangs 43-46.</t>
  </si>
  <si>
    <t>2. Un résumé des estimations VIH apparaîtra aux rangs 43-49.</t>
  </si>
  <si>
    <t>4. Vous trouverez aux lignes 53-68 une vérification de cohérence pour l'estimation Pays.</t>
  </si>
  <si>
    <t>1. INFORMATION GÉNÉRALE</t>
  </si>
  <si>
    <t>Nom du pays :</t>
  </si>
  <si>
    <t>2. STRUCTURE ÉPIDÉMIQUE ET DONNÉES DÉMOGRAPHIQUES</t>
  </si>
  <si>
    <t>NOM DES FEUILLETS</t>
  </si>
  <si>
    <t>Vérification de la Population :</t>
  </si>
  <si>
    <t>NOMS DES RÉGIONS</t>
  </si>
  <si>
    <t>POPULATION ADULTE (15-49)</t>
  </si>
  <si>
    <t>Nombre</t>
  </si>
  <si>
    <t>Source des données</t>
  </si>
  <si>
    <t>POURCENTAGE URBAIN (chez les 15-49)</t>
  </si>
  <si>
    <t xml:space="preserve">Source des données </t>
  </si>
  <si>
    <t xml:space="preserve"> </t>
  </si>
  <si>
    <t>POPULATION URBAINE ADULTE (15-49)</t>
  </si>
  <si>
    <t>3. POPULATIONS A RISQUE ACCRU UTILISÉES POUR LE MODÈLE ÉPIDÉMIQUE</t>
  </si>
  <si>
    <t>Groupes par défaut</t>
  </si>
  <si>
    <t>Groupes facultatifs à renommer le cas échéant</t>
  </si>
  <si>
    <t>CDI</t>
  </si>
  <si>
    <t>HSH</t>
  </si>
  <si>
    <t>Clients des professionnelles du sexe</t>
  </si>
  <si>
    <t>4. POPULATIONS A RISQUE MOINDRE UTILISÉES POUR LE MODÈLE ÉPIDÉMIQUE</t>
  </si>
  <si>
    <t>Facultatif HR1</t>
  </si>
  <si>
    <t>Facultatif HR2</t>
  </si>
  <si>
    <t>Facultatif HR3</t>
  </si>
  <si>
    <t>Facultatif HR4</t>
  </si>
  <si>
    <t>Facultatif groups that may be renamed</t>
  </si>
  <si>
    <t>Facultatif LR1</t>
  </si>
  <si>
    <t>Facultatif LR2</t>
  </si>
  <si>
    <t>Facultatif LR3</t>
  </si>
  <si>
    <t>Partenaires CDI</t>
  </si>
  <si>
    <t>Partenaires sexuelles HSH</t>
  </si>
  <si>
    <t xml:space="preserve">  </t>
  </si>
  <si>
    <t>% population urbaine :</t>
  </si>
  <si>
    <t>Population adulte urbaine :</t>
  </si>
  <si>
    <t>Nom des groupes de population à risque accru</t>
  </si>
  <si>
    <t>Total partiel</t>
  </si>
  <si>
    <t xml:space="preserve">Population F urbaine à moindre risque </t>
  </si>
  <si>
    <t>Population F rurale à moindre risque</t>
  </si>
  <si>
    <t>Population sans risque</t>
  </si>
  <si>
    <t xml:space="preserve"> TOTAL RÉGIONAL</t>
  </si>
  <si>
    <t>Nombre d' women Infected</t>
  </si>
  <si>
    <t>Proportion de PVVS qui sont des CDI (%):</t>
  </si>
  <si>
    <t>Pourcentage de F chez les PVVS (%):</t>
  </si>
  <si>
    <t>Contrôle de cohérence</t>
  </si>
  <si>
    <t>Estimation de la taille des populations à risque accru</t>
  </si>
  <si>
    <t>CDI dans la population adulte</t>
  </si>
  <si>
    <t>HSH parmi les hommes</t>
  </si>
  <si>
    <t>Professionnelles du sexe parmi les F</t>
  </si>
  <si>
    <t>Estimation : Taille Population</t>
  </si>
  <si>
    <t>Estimation : Prévalence VIH (%)</t>
  </si>
  <si>
    <t>Faible</t>
  </si>
  <si>
    <t xml:space="preserve">Élevée </t>
  </si>
  <si>
    <t>Valeur faible</t>
  </si>
  <si>
    <t xml:space="preserve">Valeur élvée </t>
  </si>
  <si>
    <t>Estimation : Taille population</t>
  </si>
  <si>
    <t>Méthode A: Partenaires de membres du groupe à risque accru</t>
  </si>
  <si>
    <t>Valeur élevée</t>
  </si>
  <si>
    <t>Élevée</t>
  </si>
  <si>
    <t>2.  Populations at Faibleer risk (PLR) that are not already included in PHR</t>
  </si>
  <si>
    <t>Urban female Faible risk pop</t>
  </si>
  <si>
    <t>Rural female Faible risk pop</t>
  </si>
  <si>
    <t>(Faible Population x Faible Prévalence)</t>
  </si>
  <si>
    <t>Average Nombre d' adultes living with HIV</t>
  </si>
  <si>
    <t>Estimations of adultes living with HIV/AIDS</t>
  </si>
  <si>
    <t>Pop Size Estimations Female Faible</t>
  </si>
  <si>
    <t>Pop Size Estimations Female Élevée</t>
  </si>
  <si>
    <t>Population Size Estimation</t>
  </si>
  <si>
    <t>HIV prévalence Estimation (%)</t>
  </si>
  <si>
    <t>Méthode B: ANC data applied to Faible risk women</t>
  </si>
  <si>
    <t>Méthode A: Partners of Élevée risk populations</t>
  </si>
  <si>
    <t>Méthode de calcul des infections à risque moindre</t>
  </si>
  <si>
    <t>Méthode A: Partenaires de personnes à risque accru</t>
  </si>
  <si>
    <t>Méthode B: Données de consultation prénatale appliquées à des F à risque moindre</t>
  </si>
  <si>
    <t>(Faible Population x  Prévalence Élevée)</t>
  </si>
  <si>
    <t>(Population Élevée x Faible Prévalence)</t>
  </si>
  <si>
    <t>(Population Élevée x Prévalence Élevée)</t>
  </si>
  <si>
    <t>(Faible Population x Prévalence Élevée)</t>
  </si>
  <si>
    <t>Nombre moyen, adultes vivant avec le VIH</t>
  </si>
  <si>
    <t>Statistiques sur les femmes</t>
  </si>
  <si>
    <t>Nombre de femmes infectées</t>
  </si>
  <si>
    <t>Femmes en % des personnes infectées</t>
  </si>
  <si>
    <t>Femmes en % du groupe à risque</t>
  </si>
  <si>
    <t>Notes/Commentaires:</t>
  </si>
  <si>
    <t>% comportement</t>
  </si>
  <si>
    <t>Contrôle</t>
  </si>
  <si>
    <t>Si l'on ne dispose pas d'estimations de la taille de groupes à moindre risque on pourra utiliser les estimations de prévalence au sein des consultations prénatales appliquées au reste de la population féminine non soumise à risque accru.</t>
  </si>
  <si>
    <t>Pas de diffusion au sein des populations à risque moindre - prévalence dans ce groupe exclusivement due aux interactions entre populations à risque accru et populations à risque moindre (p.ex. partenaires de population à risque accru)</t>
  </si>
  <si>
    <t xml:space="preserve">    Méthode B) Données consultations prénatales, femmes à risque moindre [E5].</t>
  </si>
  <si>
    <t>Après allocation des données Population aux régions, les populations non allouées apparaîtront dans le feuillet Région "Restant".</t>
  </si>
  <si>
    <t>- Partenaires des clients de professionnelles du sexe</t>
  </si>
  <si>
    <t>1. Inclure les estimations de taille pour les populations à risque accru, les estimations de la prévalence et le pourcentage de F pour chaque feuille régionale citée dans la page Démarrage.</t>
  </si>
  <si>
    <t>Année du modèle</t>
  </si>
  <si>
    <t>(%)</t>
  </si>
  <si>
    <t>Source estimations prévalence VIH  : Comportement à risque accru ou moindre, adultes (15-49)</t>
  </si>
  <si>
    <t>Source estimations Population - Comportement à risque accru ou moindre, adultes (15-49)</t>
  </si>
  <si>
    <t>Population adulte (15-49) de la région :</t>
  </si>
  <si>
    <t>N'en choisir qu'une</t>
  </si>
  <si>
    <t>Estimations Adultes vivant avec VIH/SIDA</t>
  </si>
  <si>
    <t>Statistiques F</t>
  </si>
  <si>
    <t>Estimation prévalence VIH (%)</t>
  </si>
  <si>
    <t>Nombre moyen d'adultes vivant avec le VIH</t>
  </si>
  <si>
    <t xml:space="preserve">Statistiques F </t>
  </si>
  <si>
    <t>Nombre de femmes infecvtées</t>
  </si>
  <si>
    <t>Nombre d'adultes (15-49) PVVS:</t>
  </si>
  <si>
    <t>Prévalence (%) chez adultes (15-49):</t>
  </si>
  <si>
    <t>3. Total des adultes vivant avec le VIH</t>
  </si>
  <si>
    <t>Clients des professionnnelles du sexe parmi les hommes</t>
  </si>
  <si>
    <t>Estimations Taille des Populations</t>
  </si>
  <si>
    <t>Estimations Prévalence VIH (%)</t>
  </si>
  <si>
    <t>Estimation basse</t>
  </si>
  <si>
    <t>Estimation haute</t>
  </si>
  <si>
    <t>(Population basse x Prévalence faible)</t>
  </si>
  <si>
    <t>(Population haute x Prévalence faible)</t>
  </si>
  <si>
    <t>(Population basse x Prévalence élevée)</t>
  </si>
  <si>
    <t>(Population haute x Prévalence élevée)</t>
  </si>
  <si>
    <t>Pop Size Estimations Female Low</t>
  </si>
  <si>
    <t>Pop Size Estimations Female High</t>
  </si>
  <si>
    <t>Méthode de calcul du nombre d'infections dans le groupe à moindre risque</t>
  </si>
  <si>
    <t>Méthode A: Partenaires of high risk populations</t>
  </si>
  <si>
    <t>Partenaires of IDU</t>
  </si>
  <si>
    <t>Female Partenaires of MSM</t>
  </si>
  <si>
    <t>Partenaires of Clients of Sex workers</t>
  </si>
  <si>
    <t>Méthode B: ANC données applied to low risk women</t>
  </si>
  <si>
    <t>Méthode B : Données prénatales appliquées aux femmes à moindre risque</t>
  </si>
  <si>
    <t>Proportion (%) des femmes infectées qui sont F</t>
  </si>
  <si>
    <t xml:space="preserve">Proportion (%) des personnes affectées qui sont F  </t>
  </si>
  <si>
    <t>Proportion (%) des personnes infectées qui sont F</t>
  </si>
  <si>
    <t>Estimations Taille Populations</t>
  </si>
  <si>
    <t>Estimations Adultes vivant avec VIH/AIDS</t>
  </si>
  <si>
    <t>Nombre moyen Adultes vivant avec le VIH</t>
  </si>
  <si>
    <t>Vérification</t>
  </si>
  <si>
    <t>Vue d'ensemble</t>
  </si>
  <si>
    <t>Pour obtenir une estimation, il faut pour chaque région :</t>
  </si>
  <si>
    <t>Les feuilles de travail comptent 3 groupes par défaut :</t>
  </si>
  <si>
    <t>Estimation des tailles de population</t>
  </si>
  <si>
    <t>Estimation de la prévalence VIH (%)</t>
  </si>
  <si>
    <t>Haute</t>
  </si>
  <si>
    <t>Basse</t>
  </si>
  <si>
    <t>Estimations, adultes vivant avec le VIH/SIDA</t>
  </si>
  <si>
    <t>3. Outre les 4 groupes par défaut, identifier d'autres groupes à comportement de risque accru à utiliser pour vos estimations.</t>
  </si>
  <si>
    <t>- Consommateurs de drogues injectables (CDI)</t>
  </si>
  <si>
    <t>4. Outre les trois groupes établis par défaut, identifier d'autres groupes avec un comportement à risque moindre dont vous tiendrez compte pour faire vos estimations.</t>
  </si>
  <si>
    <t>4. Vous trouverez sur les feuilles régionales aux lignes 50-54 une vérification de cohérence ainsi que les données qui ont servi à fournir cette estimation.</t>
  </si>
  <si>
    <t>1. Cette feuille synthétise les estimations des feuilles régionales et prend en compte la méthode utilisée pour calculer VIH parmi les groupes avec un comportement à risque moindre.</t>
  </si>
  <si>
    <t>Les cellules oranges contiennent des valeurs calculées tirées de ce que vous avez inscrit dans les cellules bleu clair.</t>
  </si>
  <si>
    <t>Estimation pays pour :</t>
  </si>
  <si>
    <t>Sous-total</t>
  </si>
  <si>
    <t xml:space="preserve">Pays : </t>
  </si>
  <si>
    <t>Année :</t>
  </si>
  <si>
    <t>Méthode B : Données consultations prénatales appliquées aux femmes à moindre risque</t>
  </si>
  <si>
    <t>3. Total des adultes vivant avec le VIH dans cette région</t>
  </si>
  <si>
    <t>TOTAL REGIONAL</t>
  </si>
  <si>
    <t>Nombre d'adultes (15-49) PVVS :</t>
  </si>
  <si>
    <t>Proportion de PVVS qui sont des CDI (%) :</t>
  </si>
  <si>
    <t>Prévalence (%) chez adultes (15-49) :</t>
  </si>
  <si>
    <t>Nombre de femmes (15-49) PVVS :</t>
  </si>
  <si>
    <t>Pourcentage de F chez les PVVS (%) :</t>
  </si>
  <si>
    <t>Commentaire</t>
  </si>
  <si>
    <t>Ratio homme:femme</t>
  </si>
  <si>
    <t>Pourcentage urbain national (%)</t>
  </si>
  <si>
    <t>% VIH</t>
  </si>
  <si>
    <t>Valeur</t>
  </si>
  <si>
    <t>Ratio PLR:PHR</t>
  </si>
  <si>
    <t>Choisir UNE méthode :</t>
  </si>
  <si>
    <t>Méthode A: Partenaires de groupe à risque accru</t>
  </si>
  <si>
    <t>Statistiques Femmes</t>
  </si>
  <si>
    <t xml:space="preserve">Peu de pays disposent de bonnes estimations pour le nombre de professionnelles du sexe. En Thaïlande, ce taux est estimé à 0,8% de la population F (15-49). </t>
  </si>
  <si>
    <t xml:space="preserve">Peu de pays disposent de bonnes estimations pour le nombre de clients des professionnelles du sexe. En Thaïlande, les estimations de ce taux varient de 5% à 20% de la population M (15-49). </t>
  </si>
  <si>
    <t>Si l'on a recours à cette estimation de la prévalence, la plupart des PVVS appartiendront aux groupes à risque accru. Si le ratio est supérieur à .33, vous avez sans doute surestimé la prévalence au sein de la population à moindre risque.</t>
  </si>
  <si>
    <t>Au-dessus de 30% est anormalement élevé.</t>
  </si>
  <si>
    <t>Au-dessus de 60% est anormalement élevé.</t>
  </si>
  <si>
    <t>Au-dessus de 40% est anormalement élevé.</t>
  </si>
  <si>
    <t>Au-dessus de 70% est anormalement élevé.</t>
  </si>
  <si>
    <t>Même si l'importance de l'utilisation de drogues injectables varie fortement d'un pays à l'autre, peu de pays auront un taux supérieur à 0,7% de la population adulte (15-49) de CDI.</t>
  </si>
  <si>
    <t>Les données de recherche montrent un taux de HSH de l'ordre de 7% dans la plupart des pays.</t>
  </si>
  <si>
    <t>Prévalence VIH</t>
  </si>
  <si>
    <t>1. Populations à risque accru (PRA)</t>
  </si>
  <si>
    <t>2.  Populations à risque moindre (PRM) qui ne sont pas déjà incluses dans les PHR</t>
  </si>
  <si>
    <t>Sous-total PRA</t>
  </si>
  <si>
    <t>Sous-total PRM</t>
  </si>
  <si>
    <t>Professionnelles du sexe (PS)</t>
  </si>
  <si>
    <t>Partenaires sexuelles de clients des PS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</si>
</sst>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?_);_(@_)"/>
    <numFmt numFmtId="190" formatCode="_(* #,##0.0000_);_(* \(#,##0.0000\);_(* &quot;-&quot;????_);_(@_)"/>
    <numFmt numFmtId="191" formatCode="_(* #,##0.000_);_(* \(#,##0.000\);_(* &quot;-&quot;??_);_(@_)"/>
    <numFmt numFmtId="192" formatCode="0.0%"/>
    <numFmt numFmtId="193" formatCode="#,##0.0"/>
    <numFmt numFmtId="194" formatCode="#,##0.000"/>
    <numFmt numFmtId="195" formatCode="0.00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_(* #,##0.0_);_(* \(#,##0.0\);_(* &quot;-&quot;?_);_(@_)"/>
    <numFmt numFmtId="203" formatCode="0.00000000"/>
    <numFmt numFmtId="204" formatCode="0_);\(0\)"/>
    <numFmt numFmtId="205" formatCode="0.00000%"/>
    <numFmt numFmtId="206" formatCode="0.0000000000000"/>
    <numFmt numFmtId="207" formatCode="0.0000%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2"/>
      <name val="Tahoma"/>
      <family val="2"/>
    </font>
    <font>
      <b/>
      <i/>
      <sz val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i/>
      <sz val="9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i/>
      <sz val="8"/>
      <color indexed="10"/>
      <name val="Tahoma"/>
      <family val="2"/>
    </font>
    <font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.25"/>
      <name val="Arial"/>
      <family val="0"/>
    </font>
    <font>
      <i/>
      <sz val="8"/>
      <name val="Arial Narrow"/>
      <family val="2"/>
    </font>
    <font>
      <sz val="10.5"/>
      <name val="Arial Narrow"/>
      <family val="2"/>
    </font>
    <font>
      <sz val="11.25"/>
      <name val="Arial Narrow"/>
      <family val="2"/>
    </font>
    <font>
      <b/>
      <sz val="12"/>
      <name val="Arial"/>
      <family val="0"/>
    </font>
    <font>
      <i/>
      <sz val="9"/>
      <name val="Tahoma"/>
      <family val="2"/>
    </font>
    <font>
      <sz val="10.75"/>
      <name val="Arial Narrow"/>
      <family val="2"/>
    </font>
    <font>
      <sz val="8"/>
      <color indexed="9"/>
      <name val="Arial Narrow"/>
      <family val="2"/>
    </font>
    <font>
      <b/>
      <sz val="10.75"/>
      <name val="Arial"/>
      <family val="0"/>
    </font>
    <font>
      <b/>
      <sz val="8.75"/>
      <name val="Arial Narrow"/>
      <family val="2"/>
    </font>
    <font>
      <sz val="10"/>
      <name val="Arial Narrow"/>
      <family val="2"/>
    </font>
    <font>
      <b/>
      <sz val="11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188" fontId="6" fillId="0" borderId="0" xfId="15" applyNumberFormat="1" applyFont="1" applyFill="1" applyBorder="1" applyAlignment="1" applyProtection="1">
      <alignment wrapText="1"/>
      <protection/>
    </xf>
    <xf numFmtId="188" fontId="5" fillId="0" borderId="0" xfId="15" applyNumberFormat="1" applyFont="1" applyFill="1" applyBorder="1" applyAlignment="1" applyProtection="1">
      <alignment wrapText="1"/>
      <protection/>
    </xf>
    <xf numFmtId="10" fontId="5" fillId="2" borderId="0" xfId="0" applyNumberFormat="1" applyFont="1" applyFill="1" applyBorder="1" applyAlignment="1" applyProtection="1">
      <alignment wrapText="1"/>
      <protection locked="0"/>
    </xf>
    <xf numFmtId="188" fontId="6" fillId="0" borderId="0" xfId="0" applyNumberFormat="1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 wrapText="1"/>
      <protection/>
    </xf>
    <xf numFmtId="188" fontId="5" fillId="0" borderId="1" xfId="15" applyNumberFormat="1" applyFont="1" applyFill="1" applyBorder="1" applyAlignment="1" applyProtection="1">
      <alignment wrapText="1"/>
      <protection/>
    </xf>
    <xf numFmtId="3" fontId="5" fillId="3" borderId="0" xfId="15" applyNumberFormat="1" applyFont="1" applyFill="1" applyBorder="1" applyAlignment="1" applyProtection="1">
      <alignment wrapText="1"/>
      <protection/>
    </xf>
    <xf numFmtId="3" fontId="5" fillId="2" borderId="0" xfId="0" applyNumberFormat="1" applyFont="1" applyFill="1" applyBorder="1" applyAlignment="1" applyProtection="1">
      <alignment horizontal="right" wrapText="1"/>
      <protection locked="0"/>
    </xf>
    <xf numFmtId="188" fontId="5" fillId="2" borderId="0" xfId="15" applyNumberFormat="1" applyFont="1" applyFill="1" applyBorder="1" applyAlignment="1" applyProtection="1">
      <alignment horizontal="right" wrapText="1"/>
      <protection locked="0"/>
    </xf>
    <xf numFmtId="3" fontId="5" fillId="2" borderId="0" xfId="15" applyNumberFormat="1" applyFont="1" applyFill="1" applyBorder="1" applyAlignment="1" applyProtection="1">
      <alignment horizontal="right" wrapText="1"/>
      <protection locked="0"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188" fontId="6" fillId="0" borderId="0" xfId="15" applyNumberFormat="1" applyFont="1" applyFill="1" applyBorder="1" applyAlignment="1" applyProtection="1">
      <alignment horizontal="right" wrapText="1"/>
      <protection/>
    </xf>
    <xf numFmtId="3" fontId="6" fillId="0" borderId="0" xfId="15" applyNumberFormat="1" applyFont="1" applyFill="1" applyBorder="1" applyAlignment="1" applyProtection="1">
      <alignment wrapText="1"/>
      <protection/>
    </xf>
    <xf numFmtId="10" fontId="6" fillId="0" borderId="0" xfId="21" applyNumberFormat="1" applyFont="1" applyFill="1" applyBorder="1" applyAlignment="1" applyProtection="1">
      <alignment horizontal="center" wrapText="1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10" fontId="5" fillId="3" borderId="0" xfId="0" applyNumberFormat="1" applyFont="1" applyFill="1" applyBorder="1" applyAlignment="1" applyProtection="1">
      <alignment wrapText="1"/>
      <protection/>
    </xf>
    <xf numFmtId="192" fontId="5" fillId="3" borderId="0" xfId="15" applyNumberFormat="1" applyFont="1" applyFill="1" applyBorder="1" applyAlignment="1" applyProtection="1">
      <alignment horizontal="center"/>
      <protection/>
    </xf>
    <xf numFmtId="192" fontId="5" fillId="0" borderId="0" xfId="15" applyNumberFormat="1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wrapText="1"/>
      <protection/>
    </xf>
    <xf numFmtId="43" fontId="6" fillId="0" borderId="3" xfId="15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43" fontId="6" fillId="0" borderId="0" xfId="15" applyFont="1" applyFill="1" applyBorder="1" applyAlignment="1" applyProtection="1">
      <alignment horizontal="center" wrapText="1"/>
      <protection/>
    </xf>
    <xf numFmtId="3" fontId="6" fillId="0" borderId="3" xfId="0" applyNumberFormat="1" applyFont="1" applyFill="1" applyBorder="1" applyAlignment="1" applyProtection="1">
      <alignment horizontal="right" wrapText="1"/>
      <protection/>
    </xf>
    <xf numFmtId="192" fontId="6" fillId="0" borderId="3" xfId="0" applyNumberFormat="1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right" wrapText="1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192" fontId="6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92" fontId="6" fillId="0" borderId="0" xfId="0" applyNumberFormat="1" applyFont="1" applyFill="1" applyBorder="1" applyAlignment="1" applyProtection="1">
      <alignment horizontal="center" wrapText="1"/>
      <protection/>
    </xf>
    <xf numFmtId="188" fontId="6" fillId="0" borderId="3" xfId="0" applyNumberFormat="1" applyFont="1" applyFill="1" applyBorder="1" applyAlignment="1" applyProtection="1">
      <alignment wrapText="1"/>
      <protection/>
    </xf>
    <xf numFmtId="192" fontId="6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/>
      <protection/>
    </xf>
    <xf numFmtId="3" fontId="6" fillId="3" borderId="3" xfId="15" applyNumberFormat="1" applyFont="1" applyFill="1" applyBorder="1" applyAlignment="1" applyProtection="1">
      <alignment horizontal="right" wrapText="1"/>
      <protection/>
    </xf>
    <xf numFmtId="0" fontId="9" fillId="0" borderId="0" xfId="0" applyFont="1" applyFill="1" applyBorder="1" applyAlignment="1" applyProtection="1">
      <alignment/>
      <protection/>
    </xf>
    <xf numFmtId="3" fontId="5" fillId="3" borderId="0" xfId="15" applyNumberFormat="1" applyFont="1" applyFill="1" applyBorder="1" applyAlignment="1" applyProtection="1">
      <alignment horizontal="right"/>
      <protection/>
    </xf>
    <xf numFmtId="10" fontId="5" fillId="3" borderId="0" xfId="0" applyNumberFormat="1" applyFont="1" applyFill="1" applyBorder="1" applyAlignment="1" applyProtection="1">
      <alignment horizontal="right" wrapText="1"/>
      <protection/>
    </xf>
    <xf numFmtId="192" fontId="5" fillId="2" borderId="0" xfId="15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wrapText="1"/>
      <protection/>
    </xf>
    <xf numFmtId="192" fontId="5" fillId="2" borderId="0" xfId="15" applyNumberFormat="1" applyFont="1" applyFill="1" applyBorder="1" applyAlignment="1" applyProtection="1">
      <alignment horizontal="center" wrapText="1"/>
      <protection locked="0"/>
    </xf>
    <xf numFmtId="3" fontId="7" fillId="3" borderId="4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5" fillId="2" borderId="1" xfId="15" applyNumberFormat="1" applyFont="1" applyFill="1" applyBorder="1" applyAlignment="1" applyProtection="1">
      <alignment horizontal="right" wrapText="1"/>
      <protection locked="0"/>
    </xf>
    <xf numFmtId="10" fontId="5" fillId="2" borderId="1" xfId="0" applyNumberFormat="1" applyFont="1" applyFill="1" applyBorder="1" applyAlignment="1" applyProtection="1">
      <alignment wrapText="1"/>
      <protection locked="0"/>
    </xf>
    <xf numFmtId="3" fontId="5" fillId="3" borderId="1" xfId="15" applyNumberFormat="1" applyFont="1" applyFill="1" applyBorder="1" applyAlignment="1" applyProtection="1">
      <alignment wrapText="1"/>
      <protection/>
    </xf>
    <xf numFmtId="192" fontId="5" fillId="2" borderId="1" xfId="15" applyNumberFormat="1" applyFont="1" applyFill="1" applyBorder="1" applyAlignment="1" applyProtection="1">
      <alignment horizontal="center"/>
      <protection locked="0"/>
    </xf>
    <xf numFmtId="3" fontId="6" fillId="0" borderId="0" xfId="1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5" fillId="5" borderId="3" xfId="0" applyFont="1" applyFill="1" applyBorder="1" applyAlignment="1" applyProtection="1">
      <alignment wrapText="1"/>
      <protection/>
    </xf>
    <xf numFmtId="0" fontId="6" fillId="4" borderId="5" xfId="0" applyFont="1" applyFill="1" applyBorder="1" applyAlignment="1" applyProtection="1">
      <alignment vertical="center" wrapText="1"/>
      <protection/>
    </xf>
    <xf numFmtId="0" fontId="7" fillId="5" borderId="6" xfId="0" applyFont="1" applyFill="1" applyBorder="1" applyAlignment="1" applyProtection="1">
      <alignment horizontal="right" vertical="center" wrapText="1"/>
      <protection/>
    </xf>
    <xf numFmtId="0" fontId="5" fillId="5" borderId="6" xfId="0" applyFont="1" applyFill="1" applyBorder="1" applyAlignment="1" applyProtection="1">
      <alignment horizontal="right" wrapText="1"/>
      <protection/>
    </xf>
    <xf numFmtId="0" fontId="5" fillId="5" borderId="6" xfId="0" applyFont="1" applyFill="1" applyBorder="1" applyAlignment="1" applyProtection="1">
      <alignment wrapText="1"/>
      <protection/>
    </xf>
    <xf numFmtId="3" fontId="6" fillId="0" borderId="0" xfId="15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188" fontId="6" fillId="4" borderId="6" xfId="15" applyNumberFormat="1" applyFont="1" applyFill="1" applyBorder="1" applyAlignment="1" applyProtection="1">
      <alignment wrapText="1"/>
      <protection/>
    </xf>
    <xf numFmtId="0" fontId="5" fillId="4" borderId="6" xfId="0" applyFont="1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3" fontId="6" fillId="3" borderId="1" xfId="0" applyNumberFormat="1" applyFont="1" applyFill="1" applyBorder="1" applyAlignment="1" applyProtection="1">
      <alignment horizontal="right" wrapText="1"/>
      <protection/>
    </xf>
    <xf numFmtId="188" fontId="6" fillId="0" borderId="1" xfId="0" applyNumberFormat="1" applyFont="1" applyFill="1" applyBorder="1" applyAlignment="1" applyProtection="1">
      <alignment wrapText="1"/>
      <protection/>
    </xf>
    <xf numFmtId="3" fontId="11" fillId="0" borderId="0" xfId="0" applyNumberFormat="1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5" fillId="2" borderId="8" xfId="0" applyFont="1" applyFill="1" applyBorder="1" applyAlignment="1" applyProtection="1">
      <alignment wrapText="1"/>
      <protection/>
    </xf>
    <xf numFmtId="0" fontId="5" fillId="2" borderId="3" xfId="0" applyFont="1" applyFill="1" applyBorder="1" applyAlignment="1" applyProtection="1">
      <alignment wrapText="1"/>
      <protection/>
    </xf>
    <xf numFmtId="0" fontId="5" fillId="2" borderId="7" xfId="0" applyFont="1" applyFill="1" applyBorder="1" applyAlignment="1" applyProtection="1">
      <alignment wrapText="1"/>
      <protection/>
    </xf>
    <xf numFmtId="0" fontId="5" fillId="2" borderId="6" xfId="0" applyFont="1" applyFill="1" applyBorder="1" applyAlignment="1" applyProtection="1">
      <alignment wrapText="1"/>
      <protection/>
    </xf>
    <xf numFmtId="0" fontId="6" fillId="4" borderId="9" xfId="0" applyFont="1" applyFill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3" fontId="6" fillId="3" borderId="3" xfId="0" applyNumberFormat="1" applyFont="1" applyFill="1" applyBorder="1" applyAlignment="1" applyProtection="1">
      <alignment horizontal="right"/>
      <protection/>
    </xf>
    <xf numFmtId="10" fontId="5" fillId="0" borderId="3" xfId="0" applyNumberFormat="1" applyFont="1" applyFill="1" applyBorder="1" applyAlignment="1" applyProtection="1">
      <alignment wrapText="1"/>
      <protection/>
    </xf>
    <xf numFmtId="192" fontId="6" fillId="3" borderId="8" xfId="0" applyNumberFormat="1" applyFont="1" applyFill="1" applyBorder="1" applyAlignment="1" applyProtection="1">
      <alignment horizontal="center" wrapText="1"/>
      <protection/>
    </xf>
    <xf numFmtId="3" fontId="6" fillId="3" borderId="3" xfId="0" applyNumberFormat="1" applyFont="1" applyFill="1" applyBorder="1" applyAlignment="1" applyProtection="1">
      <alignment horizontal="right" wrapText="1"/>
      <protection/>
    </xf>
    <xf numFmtId="188" fontId="6" fillId="0" borderId="3" xfId="15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188" fontId="15" fillId="0" borderId="0" xfId="15" applyNumberFormat="1" applyFont="1" applyFill="1" applyBorder="1" applyAlignment="1" applyProtection="1">
      <alignment horizontal="left"/>
      <protection/>
    </xf>
    <xf numFmtId="188" fontId="11" fillId="0" borderId="0" xfId="15" applyNumberFormat="1" applyFont="1" applyFill="1" applyBorder="1" applyAlignment="1" applyProtection="1">
      <alignment wrapText="1"/>
      <protection/>
    </xf>
    <xf numFmtId="10" fontId="12" fillId="0" borderId="0" xfId="21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2" fillId="4" borderId="12" xfId="0" applyFont="1" applyFill="1" applyBorder="1" applyAlignment="1" applyProtection="1">
      <alignment/>
      <protection/>
    </xf>
    <xf numFmtId="10" fontId="5" fillId="3" borderId="1" xfId="0" applyNumberFormat="1" applyFont="1" applyFill="1" applyBorder="1" applyAlignment="1" applyProtection="1">
      <alignment horizontal="right" wrapText="1"/>
      <protection/>
    </xf>
    <xf numFmtId="192" fontId="5" fillId="3" borderId="1" xfId="15" applyNumberFormat="1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/>
      <protection/>
    </xf>
    <xf numFmtId="0" fontId="15" fillId="4" borderId="6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left"/>
      <protection/>
    </xf>
    <xf numFmtId="0" fontId="8" fillId="2" borderId="6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left"/>
      <protection/>
    </xf>
    <xf numFmtId="0" fontId="9" fillId="4" borderId="13" xfId="0" applyFont="1" applyFill="1" applyBorder="1" applyAlignment="1" applyProtection="1">
      <alignment/>
      <protection/>
    </xf>
    <xf numFmtId="0" fontId="5" fillId="4" borderId="14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92" fontId="11" fillId="0" borderId="0" xfId="21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5" borderId="15" xfId="0" applyFont="1" applyFill="1" applyBorder="1" applyAlignment="1" applyProtection="1">
      <alignment horizontal="right" vertical="center" wrapText="1"/>
      <protection/>
    </xf>
    <xf numFmtId="0" fontId="5" fillId="5" borderId="15" xfId="0" applyFont="1" applyFill="1" applyBorder="1" applyAlignment="1" applyProtection="1">
      <alignment horizontal="right" wrapText="1"/>
      <protection/>
    </xf>
    <xf numFmtId="0" fontId="5" fillId="5" borderId="15" xfId="0" applyFont="1" applyFill="1" applyBorder="1" applyAlignment="1" applyProtection="1">
      <alignment wrapText="1"/>
      <protection/>
    </xf>
    <xf numFmtId="0" fontId="5" fillId="0" borderId="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0" fontId="5" fillId="0" borderId="0" xfId="0" applyNumberFormat="1" applyFont="1" applyFill="1" applyBorder="1" applyAlignment="1" applyProtection="1">
      <alignment/>
      <protection/>
    </xf>
    <xf numFmtId="0" fontId="5" fillId="4" borderId="14" xfId="0" applyFont="1" applyFill="1" applyBorder="1" applyAlignment="1" applyProtection="1">
      <alignment/>
      <protection/>
    </xf>
    <xf numFmtId="188" fontId="5" fillId="0" borderId="0" xfId="15" applyNumberFormat="1" applyFont="1" applyFill="1" applyBorder="1" applyAlignment="1" applyProtection="1">
      <alignment/>
      <protection/>
    </xf>
    <xf numFmtId="192" fontId="5" fillId="0" borderId="3" xfId="0" applyNumberFormat="1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right"/>
      <protection/>
    </xf>
    <xf numFmtId="188" fontId="6" fillId="0" borderId="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/>
      <protection/>
    </xf>
    <xf numFmtId="192" fontId="6" fillId="0" borderId="11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5" fillId="0" borderId="3" xfId="0" applyNumberFormat="1" applyFont="1" applyFill="1" applyBorder="1" applyAlignment="1" applyProtection="1">
      <alignment horizontal="right"/>
      <protection/>
    </xf>
    <xf numFmtId="3" fontId="5" fillId="0" borderId="8" xfId="0" applyNumberFormat="1" applyFont="1" applyFill="1" applyBorder="1" applyAlignment="1" applyProtection="1">
      <alignment horizontal="right"/>
      <protection/>
    </xf>
    <xf numFmtId="192" fontId="5" fillId="0" borderId="11" xfId="0" applyNumberFormat="1" applyFont="1" applyFill="1" applyBorder="1" applyAlignment="1" applyProtection="1">
      <alignment horizontal="center" wrapText="1"/>
      <protection/>
    </xf>
    <xf numFmtId="192" fontId="5" fillId="0" borderId="17" xfId="0" applyNumberFormat="1" applyFont="1" applyFill="1" applyBorder="1" applyAlignment="1" applyProtection="1">
      <alignment horizontal="center" wrapText="1"/>
      <protection/>
    </xf>
    <xf numFmtId="3" fontId="6" fillId="3" borderId="0" xfId="15" applyNumberFormat="1" applyFont="1" applyFill="1" applyBorder="1" applyAlignment="1" applyProtection="1">
      <alignment wrapText="1"/>
      <protection/>
    </xf>
    <xf numFmtId="3" fontId="6" fillId="3" borderId="1" xfId="15" applyNumberFormat="1" applyFont="1" applyFill="1" applyBorder="1" applyAlignment="1" applyProtection="1">
      <alignment wrapText="1"/>
      <protection/>
    </xf>
    <xf numFmtId="3" fontId="7" fillId="3" borderId="4" xfId="0" applyNumberFormat="1" applyFont="1" applyFill="1" applyBorder="1" applyAlignment="1" applyProtection="1">
      <alignment horizontal="right" wrapText="1"/>
      <protection/>
    </xf>
    <xf numFmtId="3" fontId="7" fillId="3" borderId="11" xfId="0" applyNumberFormat="1" applyFont="1" applyFill="1" applyBorder="1" applyAlignment="1" applyProtection="1">
      <alignment horizontal="right" wrapText="1"/>
      <protection/>
    </xf>
    <xf numFmtId="0" fontId="10" fillId="5" borderId="16" xfId="0" applyFont="1" applyFill="1" applyBorder="1" applyAlignment="1" applyProtection="1">
      <alignment/>
      <protection/>
    </xf>
    <xf numFmtId="0" fontId="5" fillId="4" borderId="18" xfId="0" applyFont="1" applyFill="1" applyBorder="1" applyAlignment="1" applyProtection="1">
      <alignment/>
      <protection/>
    </xf>
    <xf numFmtId="0" fontId="10" fillId="5" borderId="13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wrapText="1"/>
      <protection/>
    </xf>
    <xf numFmtId="188" fontId="6" fillId="0" borderId="1" xfId="15" applyNumberFormat="1" applyFont="1" applyFill="1" applyBorder="1" applyAlignment="1" applyProtection="1">
      <alignment wrapText="1"/>
      <protection/>
    </xf>
    <xf numFmtId="0" fontId="5" fillId="5" borderId="0" xfId="0" applyFont="1" applyFill="1" applyBorder="1" applyAlignment="1" applyProtection="1">
      <alignment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6" borderId="0" xfId="0" applyFont="1" applyFill="1" applyAlignment="1">
      <alignment/>
    </xf>
    <xf numFmtId="0" fontId="12" fillId="4" borderId="16" xfId="0" applyFont="1" applyFill="1" applyBorder="1" applyAlignment="1" applyProtection="1">
      <alignment horizontal="left"/>
      <protection/>
    </xf>
    <xf numFmtId="0" fontId="12" fillId="4" borderId="13" xfId="0" applyFont="1" applyFill="1" applyBorder="1" applyAlignment="1" applyProtection="1">
      <alignment horizontal="left"/>
      <protection/>
    </xf>
    <xf numFmtId="0" fontId="12" fillId="4" borderId="14" xfId="0" applyFont="1" applyFill="1" applyBorder="1" applyAlignment="1" applyProtection="1">
      <alignment horizontal="left"/>
      <protection/>
    </xf>
    <xf numFmtId="0" fontId="12" fillId="4" borderId="13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13" fillId="0" borderId="0" xfId="0" applyFont="1" applyFill="1" applyBorder="1" applyAlignment="1" applyProtection="1">
      <alignment wrapText="1"/>
      <protection locked="0"/>
    </xf>
    <xf numFmtId="188" fontId="12" fillId="3" borderId="3" xfId="15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9" fontId="7" fillId="0" borderId="0" xfId="0" applyNumberFormat="1" applyFont="1" applyFill="1" applyBorder="1" applyAlignment="1" applyProtection="1">
      <alignment horizontal="right" wrapText="1"/>
      <protection locked="0"/>
    </xf>
    <xf numFmtId="3" fontId="7" fillId="0" borderId="0" xfId="0" applyNumberFormat="1" applyFont="1" applyFill="1" applyBorder="1" applyAlignment="1" applyProtection="1">
      <alignment wrapText="1"/>
      <protection/>
    </xf>
    <xf numFmtId="0" fontId="6" fillId="0" borderId="3" xfId="0" applyFont="1" applyBorder="1" applyAlignment="1" applyProtection="1">
      <alignment horizontal="center" wrapText="1"/>
      <protection/>
    </xf>
    <xf numFmtId="192" fontId="5" fillId="0" borderId="3" xfId="15" applyNumberFormat="1" applyFont="1" applyFill="1" applyBorder="1" applyAlignment="1" applyProtection="1">
      <alignment horizontal="center" wrapText="1"/>
      <protection/>
    </xf>
    <xf numFmtId="0" fontId="14" fillId="0" borderId="19" xfId="0" applyFont="1" applyFill="1" applyBorder="1" applyAlignment="1" applyProtection="1">
      <alignment horizontal="left" vertical="center"/>
      <protection/>
    </xf>
    <xf numFmtId="0" fontId="9" fillId="4" borderId="18" xfId="0" applyFont="1" applyFill="1" applyBorder="1" applyAlignment="1" applyProtection="1">
      <alignment wrapText="1"/>
      <protection/>
    </xf>
    <xf numFmtId="192" fontId="5" fillId="0" borderId="0" xfId="0" applyNumberFormat="1" applyFont="1" applyFill="1" applyBorder="1" applyAlignment="1" applyProtection="1">
      <alignment wrapText="1"/>
      <protection/>
    </xf>
    <xf numFmtId="3" fontId="12" fillId="0" borderId="0" xfId="15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188" fontId="12" fillId="0" borderId="0" xfId="0" applyNumberFormat="1" applyFont="1" applyFill="1" applyBorder="1" applyAlignment="1" applyProtection="1">
      <alignment horizontal="right" vertical="center" wrapText="1"/>
      <protection/>
    </xf>
    <xf numFmtId="3" fontId="6" fillId="3" borderId="0" xfId="0" applyNumberFormat="1" applyFont="1" applyFill="1" applyBorder="1" applyAlignment="1" applyProtection="1">
      <alignment horizontal="right" wrapText="1"/>
      <protection/>
    </xf>
    <xf numFmtId="3" fontId="12" fillId="0" borderId="0" xfId="15" applyNumberFormat="1" applyFont="1" applyFill="1" applyBorder="1" applyAlignment="1" applyProtection="1">
      <alignment horizontal="center" vertical="center" wrapText="1"/>
      <protection/>
    </xf>
    <xf numFmtId="192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wrapText="1"/>
      <protection/>
    </xf>
    <xf numFmtId="188" fontId="6" fillId="0" borderId="20" xfId="15" applyNumberFormat="1" applyFont="1" applyFill="1" applyBorder="1" applyAlignment="1" applyProtection="1">
      <alignment wrapText="1"/>
      <protection/>
    </xf>
    <xf numFmtId="0" fontId="6" fillId="0" borderId="20" xfId="0" applyFont="1" applyFill="1" applyBorder="1" applyAlignment="1" applyProtection="1">
      <alignment wrapText="1"/>
      <protection/>
    </xf>
    <xf numFmtId="3" fontId="6" fillId="0" borderId="20" xfId="15" applyNumberFormat="1" applyFont="1" applyFill="1" applyBorder="1" applyAlignment="1" applyProtection="1">
      <alignment wrapText="1"/>
      <protection/>
    </xf>
    <xf numFmtId="0" fontId="5" fillId="0" borderId="21" xfId="0" applyFont="1" applyFill="1" applyBorder="1" applyAlignment="1" applyProtection="1">
      <alignment horizontal="center" wrapText="1"/>
      <protection/>
    </xf>
    <xf numFmtId="3" fontId="12" fillId="0" borderId="19" xfId="15" applyNumberFormat="1" applyFont="1" applyFill="1" applyBorder="1" applyAlignment="1" applyProtection="1">
      <alignment horizontal="center" vertical="center" wrapText="1"/>
      <protection/>
    </xf>
    <xf numFmtId="192" fontId="12" fillId="0" borderId="19" xfId="0" applyNumberFormat="1" applyFont="1" applyFill="1" applyBorder="1" applyAlignment="1" applyProtection="1">
      <alignment horizontal="center" vertical="center" wrapText="1"/>
      <protection/>
    </xf>
    <xf numFmtId="3" fontId="6" fillId="0" borderId="3" xfId="15" applyNumberFormat="1" applyFont="1" applyFill="1" applyBorder="1" applyAlignment="1" applyProtection="1">
      <alignment wrapText="1"/>
      <protection/>
    </xf>
    <xf numFmtId="192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88" fontId="6" fillId="0" borderId="0" xfId="0" applyNumberFormat="1" applyFont="1" applyFill="1" applyBorder="1" applyAlignment="1" applyProtection="1">
      <alignment/>
      <protection/>
    </xf>
    <xf numFmtId="191" fontId="5" fillId="0" borderId="0" xfId="15" applyNumberFormat="1" applyFont="1" applyFill="1" applyBorder="1" applyAlignment="1" applyProtection="1">
      <alignment horizontal="right"/>
      <protection/>
    </xf>
    <xf numFmtId="192" fontId="11" fillId="3" borderId="0" xfId="21" applyNumberFormat="1" applyFont="1" applyFill="1" applyBorder="1" applyAlignment="1" applyProtection="1">
      <alignment horizontal="center" vertical="center"/>
      <protection/>
    </xf>
    <xf numFmtId="0" fontId="5" fillId="5" borderId="15" xfId="0" applyFont="1" applyFill="1" applyBorder="1" applyAlignment="1" applyProtection="1">
      <alignment horizontal="center" wrapText="1"/>
      <protection/>
    </xf>
    <xf numFmtId="192" fontId="6" fillId="3" borderId="3" xfId="0" applyNumberFormat="1" applyFont="1" applyFill="1" applyBorder="1" applyAlignment="1" applyProtection="1">
      <alignment horizontal="right" wrapText="1"/>
      <protection/>
    </xf>
    <xf numFmtId="0" fontId="5" fillId="0" borderId="3" xfId="0" applyFont="1" applyFill="1" applyBorder="1" applyAlignment="1" applyProtection="1">
      <alignment horizontal="center" wrapText="1"/>
      <protection/>
    </xf>
    <xf numFmtId="0" fontId="5" fillId="5" borderId="6" xfId="0" applyFont="1" applyFill="1" applyBorder="1" applyAlignment="1" applyProtection="1">
      <alignment horizontal="center" wrapText="1"/>
      <protection/>
    </xf>
    <xf numFmtId="3" fontId="11" fillId="0" borderId="0" xfId="0" applyNumberFormat="1" applyFont="1" applyFill="1" applyBorder="1" applyAlignment="1" applyProtection="1">
      <alignment wrapText="1"/>
      <protection/>
    </xf>
    <xf numFmtId="201" fontId="13" fillId="0" borderId="0" xfId="0" applyNumberFormat="1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/>
      <protection/>
    </xf>
    <xf numFmtId="1" fontId="7" fillId="3" borderId="8" xfId="0" applyNumberFormat="1" applyFont="1" applyFill="1" applyBorder="1" applyAlignment="1" applyProtection="1">
      <alignment horizontal="right" vertical="center" wrapText="1"/>
      <protection/>
    </xf>
    <xf numFmtId="3" fontId="7" fillId="3" borderId="4" xfId="0" applyNumberFormat="1" applyFont="1" applyFill="1" applyBorder="1" applyAlignment="1" applyProtection="1">
      <alignment horizontal="right" wrapText="1"/>
      <protection locked="0"/>
    </xf>
    <xf numFmtId="9" fontId="7" fillId="3" borderId="8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Fill="1" applyBorder="1" applyAlignment="1" applyProtection="1">
      <alignment horizontal="right" wrapText="1"/>
      <protection locked="0"/>
    </xf>
    <xf numFmtId="0" fontId="7" fillId="3" borderId="6" xfId="0" applyFont="1" applyFill="1" applyBorder="1" applyAlignment="1" applyProtection="1">
      <alignment horizontal="right" wrapText="1"/>
      <protection locked="0"/>
    </xf>
    <xf numFmtId="3" fontId="12" fillId="3" borderId="12" xfId="0" applyNumberFormat="1" applyFont="1" applyFill="1" applyBorder="1" applyAlignment="1" applyProtection="1">
      <alignment wrapText="1"/>
      <protection/>
    </xf>
    <xf numFmtId="0" fontId="25" fillId="0" borderId="0" xfId="0" applyFont="1" applyAlignment="1">
      <alignment horizontal="center"/>
    </xf>
    <xf numFmtId="198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204" fontId="21" fillId="4" borderId="14" xfId="0" applyNumberFormat="1" applyFont="1" applyFill="1" applyBorder="1" applyAlignment="1" applyProtection="1">
      <alignment horizontal="center"/>
      <protection/>
    </xf>
    <xf numFmtId="204" fontId="21" fillId="4" borderId="13" xfId="0" applyNumberFormat="1" applyFont="1" applyFill="1" applyBorder="1" applyAlignment="1" applyProtection="1">
      <alignment horizontal="center"/>
      <protection/>
    </xf>
    <xf numFmtId="0" fontId="22" fillId="4" borderId="12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3" fillId="4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23" fillId="4" borderId="0" xfId="0" applyFont="1" applyFill="1" applyAlignment="1">
      <alignment/>
    </xf>
    <xf numFmtId="0" fontId="11" fillId="4" borderId="14" xfId="0" applyFont="1" applyFill="1" applyBorder="1" applyAlignment="1" applyProtection="1">
      <alignment/>
      <protection/>
    </xf>
    <xf numFmtId="3" fontId="23" fillId="3" borderId="0" xfId="0" applyNumberFormat="1" applyFont="1" applyFill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10" fontId="21" fillId="0" borderId="0" xfId="0" applyNumberFormat="1" applyFont="1" applyFill="1" applyAlignment="1">
      <alignment/>
    </xf>
    <xf numFmtId="1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wrapText="1"/>
    </xf>
    <xf numFmtId="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10" fontId="2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1" fontId="21" fillId="3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3" fontId="21" fillId="3" borderId="0" xfId="0" applyNumberFormat="1" applyFont="1" applyFill="1" applyBorder="1" applyAlignment="1">
      <alignment horizontal="center"/>
    </xf>
    <xf numFmtId="10" fontId="21" fillId="3" borderId="0" xfId="0" applyNumberFormat="1" applyFont="1" applyFill="1" applyBorder="1" applyAlignment="1">
      <alignment horizontal="center"/>
    </xf>
    <xf numFmtId="10" fontId="21" fillId="3" borderId="3" xfId="0" applyNumberFormat="1" applyFont="1" applyFill="1" applyBorder="1" applyAlignment="1">
      <alignment horizontal="center" wrapText="1"/>
    </xf>
    <xf numFmtId="3" fontId="6" fillId="6" borderId="4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 applyProtection="1">
      <alignment/>
      <protection/>
    </xf>
    <xf numFmtId="0" fontId="5" fillId="4" borderId="0" xfId="0" applyFont="1" applyFill="1" applyAlignment="1" applyProtection="1">
      <alignment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192" fontId="5" fillId="0" borderId="0" xfId="21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192" fontId="6" fillId="0" borderId="3" xfId="21" applyNumberFormat="1" applyFont="1" applyBorder="1" applyAlignment="1" applyProtection="1">
      <alignment horizontal="center" vertical="center"/>
      <protection/>
    </xf>
    <xf numFmtId="2" fontId="5" fillId="3" borderId="0" xfId="21" applyNumberFormat="1" applyFont="1" applyFill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horizontal="left" vertical="center"/>
      <protection/>
    </xf>
    <xf numFmtId="0" fontId="5" fillId="4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 horizontal="right" wrapText="1"/>
      <protection/>
    </xf>
    <xf numFmtId="3" fontId="5" fillId="4" borderId="0" xfId="0" applyNumberFormat="1" applyFont="1" applyFill="1" applyBorder="1" applyAlignment="1" applyProtection="1">
      <alignment vertical="center"/>
      <protection/>
    </xf>
    <xf numFmtId="0" fontId="5" fillId="4" borderId="0" xfId="0" applyFont="1" applyFill="1" applyAlignment="1" applyProtection="1">
      <alignment wrapText="1"/>
      <protection/>
    </xf>
    <xf numFmtId="0" fontId="13" fillId="4" borderId="0" xfId="0" applyFont="1" applyFill="1" applyAlignment="1" applyProtection="1">
      <alignment wrapText="1"/>
      <protection/>
    </xf>
    <xf numFmtId="0" fontId="6" fillId="3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wrapText="1"/>
      <protection/>
    </xf>
    <xf numFmtId="0" fontId="6" fillId="0" borderId="3" xfId="0" applyFont="1" applyBorder="1" applyAlignment="1" applyProtection="1">
      <alignment vertical="center"/>
      <protection/>
    </xf>
    <xf numFmtId="0" fontId="5" fillId="3" borderId="0" xfId="0" applyFont="1" applyFill="1" applyAlignment="1" applyProtection="1">
      <alignment/>
      <protection/>
    </xf>
    <xf numFmtId="0" fontId="13" fillId="3" borderId="0" xfId="0" applyFont="1" applyFill="1" applyAlignment="1" applyProtection="1">
      <alignment wrapText="1"/>
      <protection/>
    </xf>
    <xf numFmtId="0" fontId="5" fillId="0" borderId="3" xfId="0" applyFont="1" applyBorder="1" applyAlignment="1" applyProtection="1">
      <alignment/>
      <protection/>
    </xf>
    <xf numFmtId="0" fontId="6" fillId="4" borderId="12" xfId="0" applyFont="1" applyFill="1" applyBorder="1" applyAlignment="1" applyProtection="1">
      <alignment horizontal="left"/>
      <protection/>
    </xf>
    <xf numFmtId="0" fontId="6" fillId="6" borderId="16" xfId="0" applyFont="1" applyFill="1" applyBorder="1" applyAlignment="1" applyProtection="1">
      <alignment wrapText="1"/>
      <protection/>
    </xf>
    <xf numFmtId="0" fontId="6" fillId="6" borderId="14" xfId="0" applyFont="1" applyFill="1" applyBorder="1" applyAlignment="1" applyProtection="1">
      <alignment/>
      <protection/>
    </xf>
    <xf numFmtId="192" fontId="6" fillId="6" borderId="11" xfId="0" applyNumberFormat="1" applyFont="1" applyFill="1" applyBorder="1" applyAlignment="1" applyProtection="1">
      <alignment horizontal="center"/>
      <protection/>
    </xf>
    <xf numFmtId="0" fontId="6" fillId="6" borderId="14" xfId="0" applyFont="1" applyFill="1" applyBorder="1" applyAlignment="1" applyProtection="1">
      <alignment wrapText="1"/>
      <protection/>
    </xf>
    <xf numFmtId="0" fontId="6" fillId="6" borderId="13" xfId="0" applyFont="1" applyFill="1" applyBorder="1" applyAlignment="1" applyProtection="1">
      <alignment wrapText="1"/>
      <protection/>
    </xf>
    <xf numFmtId="192" fontId="6" fillId="6" borderId="8" xfId="0" applyNumberFormat="1" applyFont="1" applyFill="1" applyBorder="1" applyAlignment="1" applyProtection="1">
      <alignment horizontal="center" wrapText="1"/>
      <protection/>
    </xf>
    <xf numFmtId="0" fontId="5" fillId="4" borderId="14" xfId="0" applyFont="1" applyFill="1" applyBorder="1" applyAlignment="1" applyProtection="1">
      <alignment wrapText="1"/>
      <protection/>
    </xf>
    <xf numFmtId="0" fontId="5" fillId="4" borderId="13" xfId="0" applyFont="1" applyFill="1" applyBorder="1" applyAlignment="1" applyProtection="1">
      <alignment wrapText="1"/>
      <protection/>
    </xf>
    <xf numFmtId="192" fontId="11" fillId="3" borderId="15" xfId="21" applyNumberFormat="1" applyFont="1" applyFill="1" applyBorder="1" applyAlignment="1" applyProtection="1">
      <alignment horizontal="center" vertical="center"/>
      <protection/>
    </xf>
    <xf numFmtId="0" fontId="5" fillId="3" borderId="15" xfId="0" applyFont="1" applyFill="1" applyBorder="1" applyAlignment="1" applyProtection="1">
      <alignment horizontal="right" wrapText="1"/>
      <protection/>
    </xf>
    <xf numFmtId="0" fontId="5" fillId="3" borderId="4" xfId="0" applyFont="1" applyFill="1" applyBorder="1" applyAlignment="1" applyProtection="1">
      <alignment horizontal="right" wrapText="1"/>
      <protection/>
    </xf>
    <xf numFmtId="0" fontId="5" fillId="3" borderId="0" xfId="0" applyFont="1" applyFill="1" applyBorder="1" applyAlignment="1" applyProtection="1">
      <alignment horizontal="right" wrapText="1"/>
      <protection/>
    </xf>
    <xf numFmtId="0" fontId="5" fillId="3" borderId="11" xfId="0" applyFont="1" applyFill="1" applyBorder="1" applyAlignment="1" applyProtection="1">
      <alignment horizontal="right" wrapText="1"/>
      <protection/>
    </xf>
    <xf numFmtId="192" fontId="11" fillId="3" borderId="8" xfId="21" applyNumberFormat="1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right" wrapText="1"/>
      <protection/>
    </xf>
    <xf numFmtId="0" fontId="5" fillId="3" borderId="8" xfId="0" applyFont="1" applyFill="1" applyBorder="1" applyAlignment="1" applyProtection="1">
      <alignment horizontal="right" wrapText="1"/>
      <protection/>
    </xf>
    <xf numFmtId="0" fontId="12" fillId="3" borderId="16" xfId="0" applyFont="1" applyFill="1" applyBorder="1" applyAlignment="1" applyProtection="1">
      <alignment vertical="center"/>
      <protection/>
    </xf>
    <xf numFmtId="0" fontId="12" fillId="3" borderId="14" xfId="0" applyFont="1" applyFill="1" applyBorder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vertical="center"/>
      <protection/>
    </xf>
    <xf numFmtId="0" fontId="6" fillId="4" borderId="7" xfId="0" applyFont="1" applyFill="1" applyBorder="1" applyAlignment="1" applyProtection="1">
      <alignment wrapText="1"/>
      <protection/>
    </xf>
    <xf numFmtId="0" fontId="23" fillId="3" borderId="0" xfId="0" applyFont="1" applyFill="1" applyAlignment="1">
      <alignment/>
    </xf>
    <xf numFmtId="3" fontId="29" fillId="0" borderId="0" xfId="0" applyNumberFormat="1" applyFont="1" applyAlignment="1" applyProtection="1">
      <alignment/>
      <protection/>
    </xf>
    <xf numFmtId="9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" fontId="29" fillId="0" borderId="0" xfId="0" applyNumberFormat="1" applyFont="1" applyFill="1" applyBorder="1" applyAlignment="1" applyProtection="1">
      <alignment/>
      <protection/>
    </xf>
    <xf numFmtId="3" fontId="11" fillId="3" borderId="2" xfId="0" applyNumberFormat="1" applyFont="1" applyFill="1" applyBorder="1" applyAlignment="1" applyProtection="1">
      <alignment/>
      <protection/>
    </xf>
    <xf numFmtId="0" fontId="11" fillId="0" borderId="3" xfId="0" applyFont="1" applyBorder="1" applyAlignment="1" applyProtection="1">
      <alignment/>
      <protection/>
    </xf>
    <xf numFmtId="3" fontId="11" fillId="3" borderId="0" xfId="0" applyNumberFormat="1" applyFont="1" applyFill="1" applyAlignment="1" applyProtection="1">
      <alignment/>
      <protection/>
    </xf>
    <xf numFmtId="3" fontId="11" fillId="3" borderId="6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9" fontId="11" fillId="0" borderId="0" xfId="0" applyNumberFormat="1" applyFont="1" applyFill="1" applyAlignment="1" applyProtection="1">
      <alignment/>
      <protection/>
    </xf>
    <xf numFmtId="0" fontId="11" fillId="4" borderId="11" xfId="0" applyFont="1" applyFill="1" applyBorder="1" applyAlignment="1" applyProtection="1">
      <alignment/>
      <protection/>
    </xf>
    <xf numFmtId="9" fontId="11" fillId="4" borderId="11" xfId="0" applyNumberFormat="1" applyFont="1" applyFill="1" applyBorder="1" applyAlignment="1" applyProtection="1">
      <alignment/>
      <protection/>
    </xf>
    <xf numFmtId="3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8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/>
      <protection/>
    </xf>
    <xf numFmtId="204" fontId="21" fillId="4" borderId="16" xfId="0" applyNumberFormat="1" applyFont="1" applyFill="1" applyBorder="1" applyAlignment="1" applyProtection="1">
      <alignment horizontal="center"/>
      <protection/>
    </xf>
    <xf numFmtId="0" fontId="23" fillId="4" borderId="22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2" fontId="23" fillId="4" borderId="24" xfId="0" applyNumberFormat="1" applyFont="1" applyFill="1" applyBorder="1" applyAlignment="1">
      <alignment horizontal="center"/>
    </xf>
    <xf numFmtId="199" fontId="23" fillId="7" borderId="25" xfId="0" applyNumberFormat="1" applyFont="1" applyFill="1" applyBorder="1" applyAlignment="1" applyProtection="1">
      <alignment/>
      <protection locked="0"/>
    </xf>
    <xf numFmtId="199" fontId="23" fillId="7" borderId="26" xfId="0" applyNumberFormat="1" applyFont="1" applyFill="1" applyBorder="1" applyAlignment="1" applyProtection="1">
      <alignment/>
      <protection locked="0"/>
    </xf>
    <xf numFmtId="0" fontId="20" fillId="7" borderId="0" xfId="0" applyFont="1" applyFill="1" applyAlignment="1">
      <alignment/>
    </xf>
    <xf numFmtId="192" fontId="7" fillId="3" borderId="11" xfId="0" applyNumberFormat="1" applyFont="1" applyFill="1" applyBorder="1" applyAlignment="1" applyProtection="1">
      <alignment horizontal="right" wrapText="1"/>
      <protection/>
    </xf>
    <xf numFmtId="0" fontId="23" fillId="4" borderId="24" xfId="0" applyFont="1" applyFill="1" applyBorder="1" applyAlignment="1">
      <alignment horizontal="center"/>
    </xf>
    <xf numFmtId="0" fontId="23" fillId="4" borderId="27" xfId="0" applyFont="1" applyFill="1" applyBorder="1" applyAlignment="1">
      <alignment/>
    </xf>
    <xf numFmtId="0" fontId="34" fillId="4" borderId="28" xfId="0" applyFont="1" applyFill="1" applyBorder="1" applyAlignment="1">
      <alignment/>
    </xf>
    <xf numFmtId="199" fontId="23" fillId="7" borderId="29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>
      <alignment horizontal="left"/>
    </xf>
    <xf numFmtId="0" fontId="23" fillId="4" borderId="0" xfId="0" applyFont="1" applyFill="1" applyAlignment="1" applyProtection="1">
      <alignment horizontal="left"/>
      <protection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4" borderId="27" xfId="0" applyFont="1" applyFill="1" applyBorder="1" applyAlignment="1">
      <alignment horizontal="center"/>
    </xf>
    <xf numFmtId="2" fontId="23" fillId="2" borderId="28" xfId="0" applyNumberFormat="1" applyFont="1" applyFill="1" applyBorder="1" applyAlignment="1" applyProtection="1">
      <alignment horizontal="right"/>
      <protection locked="0"/>
    </xf>
    <xf numFmtId="3" fontId="23" fillId="3" borderId="0" xfId="0" applyNumberFormat="1" applyFont="1" applyFill="1" applyAlignment="1" applyProtection="1">
      <alignment horizontal="left"/>
      <protection/>
    </xf>
    <xf numFmtId="3" fontId="23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23" fillId="4" borderId="27" xfId="0" applyFont="1" applyFill="1" applyBorder="1" applyAlignment="1" applyProtection="1">
      <alignment/>
      <protection/>
    </xf>
    <xf numFmtId="0" fontId="34" fillId="4" borderId="28" xfId="0" applyFont="1" applyFill="1" applyBorder="1" applyAlignment="1" applyProtection="1">
      <alignment/>
      <protection/>
    </xf>
    <xf numFmtId="0" fontId="25" fillId="4" borderId="7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4" borderId="0" xfId="0" applyFont="1" applyFill="1" applyAlignment="1" applyProtection="1">
      <alignment/>
      <protection/>
    </xf>
    <xf numFmtId="0" fontId="23" fillId="3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3" fillId="4" borderId="27" xfId="0" applyFont="1" applyFill="1" applyBorder="1" applyAlignment="1" applyProtection="1">
      <alignment horizontal="center"/>
      <protection/>
    </xf>
    <xf numFmtId="200" fontId="25" fillId="3" borderId="0" xfId="0" applyNumberFormat="1" applyFont="1" applyFill="1" applyBorder="1" applyAlignment="1" applyProtection="1">
      <alignment horizontal="center"/>
      <protection/>
    </xf>
    <xf numFmtId="199" fontId="25" fillId="3" borderId="0" xfId="0" applyNumberFormat="1" applyFont="1" applyFill="1" applyAlignment="1" applyProtection="1">
      <alignment/>
      <protection/>
    </xf>
    <xf numFmtId="198" fontId="25" fillId="3" borderId="0" xfId="0" applyNumberFormat="1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3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4" borderId="22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3" fillId="4" borderId="24" xfId="0" applyFont="1" applyFill="1" applyBorder="1" applyAlignment="1" applyProtection="1">
      <alignment horizontal="center"/>
      <protection/>
    </xf>
    <xf numFmtId="0" fontId="23" fillId="4" borderId="23" xfId="0" applyFont="1" applyFill="1" applyBorder="1" applyAlignment="1" applyProtection="1">
      <alignment horizontal="center"/>
      <protection/>
    </xf>
    <xf numFmtId="2" fontId="23" fillId="4" borderId="24" xfId="0" applyNumberFormat="1" applyFont="1" applyFill="1" applyBorder="1" applyAlignment="1" applyProtection="1">
      <alignment horizontal="center"/>
      <protection/>
    </xf>
    <xf numFmtId="198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 locked="0"/>
    </xf>
    <xf numFmtId="0" fontId="34" fillId="4" borderId="28" xfId="0" applyFont="1" applyFill="1" applyBorder="1" applyAlignment="1" applyProtection="1">
      <alignment/>
      <protection locked="0"/>
    </xf>
    <xf numFmtId="0" fontId="22" fillId="4" borderId="7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9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31" fillId="3" borderId="11" xfId="0" applyFont="1" applyFill="1" applyBorder="1" applyAlignment="1">
      <alignment horizontal="center"/>
    </xf>
    <xf numFmtId="1" fontId="21" fillId="3" borderId="11" xfId="0" applyNumberFormat="1" applyFont="1" applyFill="1" applyBorder="1" applyAlignment="1">
      <alignment horizontal="center"/>
    </xf>
    <xf numFmtId="3" fontId="21" fillId="3" borderId="11" xfId="0" applyNumberFormat="1" applyFont="1" applyFill="1" applyBorder="1" applyAlignment="1">
      <alignment horizontal="center"/>
    </xf>
    <xf numFmtId="10" fontId="21" fillId="3" borderId="11" xfId="0" applyNumberFormat="1" applyFont="1" applyFill="1" applyBorder="1" applyAlignment="1">
      <alignment horizontal="center"/>
    </xf>
    <xf numFmtId="3" fontId="21" fillId="3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10" fontId="21" fillId="0" borderId="11" xfId="0" applyNumberFormat="1" applyFont="1" applyFill="1" applyBorder="1" applyAlignment="1">
      <alignment horizontal="center"/>
    </xf>
    <xf numFmtId="1" fontId="21" fillId="3" borderId="3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3" borderId="0" xfId="0" applyFont="1" applyFill="1" applyAlignment="1">
      <alignment/>
    </xf>
    <xf numFmtId="0" fontId="20" fillId="0" borderId="0" xfId="0" applyFont="1" applyAlignment="1" quotePrefix="1">
      <alignment horizontal="left"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2" fontId="21" fillId="0" borderId="0" xfId="0" applyNumberFormat="1" applyFont="1" applyAlignment="1">
      <alignment horizontal="center"/>
    </xf>
    <xf numFmtId="0" fontId="6" fillId="4" borderId="16" xfId="0" applyFont="1" applyFill="1" applyBorder="1" applyAlignment="1" applyProtection="1">
      <alignment vertical="center" wrapText="1"/>
      <protection/>
    </xf>
    <xf numFmtId="0" fontId="6" fillId="4" borderId="18" xfId="0" applyFont="1" applyFill="1" applyBorder="1" applyAlignment="1" applyProtection="1">
      <alignment vertical="center" wrapText="1"/>
      <protection/>
    </xf>
    <xf numFmtId="0" fontId="7" fillId="5" borderId="19" xfId="0" applyFont="1" applyFill="1" applyBorder="1" applyAlignment="1" applyProtection="1">
      <alignment horizontal="right" vertical="center" wrapText="1"/>
      <protection/>
    </xf>
    <xf numFmtId="0" fontId="5" fillId="5" borderId="19" xfId="0" applyFont="1" applyFill="1" applyBorder="1" applyAlignment="1" applyProtection="1">
      <alignment horizontal="right" wrapText="1"/>
      <protection/>
    </xf>
    <xf numFmtId="0" fontId="22" fillId="0" borderId="6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/>
    </xf>
    <xf numFmtId="10" fontId="21" fillId="0" borderId="0" xfId="0" applyNumberFormat="1" applyFont="1" applyFill="1" applyBorder="1" applyAlignment="1" applyProtection="1">
      <alignment horizontal="center"/>
      <protection locked="0"/>
    </xf>
    <xf numFmtId="10" fontId="21" fillId="0" borderId="0" xfId="0" applyNumberFormat="1" applyFont="1" applyFill="1" applyBorder="1" applyAlignment="1" applyProtection="1">
      <alignment horizontal="right"/>
      <protection locked="0"/>
    </xf>
    <xf numFmtId="198" fontId="21" fillId="0" borderId="0" xfId="0" applyNumberFormat="1" applyFont="1" applyFill="1" applyAlignment="1">
      <alignment/>
    </xf>
    <xf numFmtId="0" fontId="25" fillId="3" borderId="3" xfId="0" applyFont="1" applyFill="1" applyBorder="1" applyAlignment="1" applyProtection="1">
      <alignment horizontal="center" vertical="center"/>
      <protection/>
    </xf>
    <xf numFmtId="3" fontId="6" fillId="8" borderId="0" xfId="0" applyNumberFormat="1" applyFont="1" applyFill="1" applyBorder="1" applyAlignment="1" applyProtection="1">
      <alignment/>
      <protection locked="0"/>
    </xf>
    <xf numFmtId="0" fontId="6" fillId="8" borderId="16" xfId="0" applyFont="1" applyFill="1" applyBorder="1" applyAlignment="1" applyProtection="1">
      <alignment/>
      <protection locked="0"/>
    </xf>
    <xf numFmtId="0" fontId="6" fillId="8" borderId="15" xfId="0" applyFont="1" applyFill="1" applyBorder="1" applyAlignment="1" applyProtection="1">
      <alignment/>
      <protection locked="0"/>
    </xf>
    <xf numFmtId="0" fontId="5" fillId="8" borderId="15" xfId="0" applyFont="1" applyFill="1" applyBorder="1" applyAlignment="1" applyProtection="1">
      <alignment/>
      <protection locked="0"/>
    </xf>
    <xf numFmtId="0" fontId="5" fillId="8" borderId="4" xfId="0" applyFont="1" applyFill="1" applyBorder="1" applyAlignment="1" applyProtection="1">
      <alignment/>
      <protection locked="0"/>
    </xf>
    <xf numFmtId="0" fontId="6" fillId="8" borderId="14" xfId="0" applyFont="1" applyFill="1" applyBorder="1" applyAlignment="1" applyProtection="1">
      <alignment/>
      <protection locked="0"/>
    </xf>
    <xf numFmtId="0" fontId="6" fillId="8" borderId="0" xfId="0" applyFont="1" applyFill="1" applyBorder="1" applyAlignment="1" applyProtection="1">
      <alignment/>
      <protection locked="0"/>
    </xf>
    <xf numFmtId="0" fontId="5" fillId="8" borderId="0" xfId="0" applyFont="1" applyFill="1" applyBorder="1" applyAlignment="1" applyProtection="1">
      <alignment/>
      <protection locked="0"/>
    </xf>
    <xf numFmtId="0" fontId="5" fillId="8" borderId="11" xfId="0" applyFont="1" applyFill="1" applyBorder="1" applyAlignment="1" applyProtection="1">
      <alignment/>
      <protection locked="0"/>
    </xf>
    <xf numFmtId="0" fontId="6" fillId="8" borderId="13" xfId="0" applyFont="1" applyFill="1" applyBorder="1" applyAlignment="1" applyProtection="1">
      <alignment/>
      <protection locked="0"/>
    </xf>
    <xf numFmtId="0" fontId="6" fillId="8" borderId="3" xfId="0" applyFont="1" applyFill="1" applyBorder="1" applyAlignment="1" applyProtection="1">
      <alignment/>
      <protection locked="0"/>
    </xf>
    <xf numFmtId="0" fontId="5" fillId="8" borderId="3" xfId="0" applyFont="1" applyFill="1" applyBorder="1" applyAlignment="1" applyProtection="1">
      <alignment/>
      <protection locked="0"/>
    </xf>
    <xf numFmtId="0" fontId="5" fillId="8" borderId="8" xfId="0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right" wrapText="1"/>
      <protection/>
    </xf>
    <xf numFmtId="0" fontId="6" fillId="0" borderId="3" xfId="0" applyFont="1" applyFill="1" applyBorder="1" applyAlignment="1" applyProtection="1">
      <alignment/>
      <protection/>
    </xf>
    <xf numFmtId="3" fontId="7" fillId="3" borderId="12" xfId="0" applyNumberFormat="1" applyFont="1" applyFill="1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right" wrapText="1"/>
      <protection locked="0"/>
    </xf>
    <xf numFmtId="0" fontId="21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/>
    </xf>
    <xf numFmtId="0" fontId="21" fillId="3" borderId="0" xfId="0" applyFont="1" applyFill="1" applyAlignment="1">
      <alignment/>
    </xf>
    <xf numFmtId="0" fontId="11" fillId="2" borderId="6" xfId="0" applyFont="1" applyFill="1" applyBorder="1" applyAlignment="1" applyProtection="1">
      <alignment horizontal="left"/>
      <protection locked="0"/>
    </xf>
    <xf numFmtId="188" fontId="6" fillId="3" borderId="1" xfId="15" applyNumberFormat="1" applyFont="1" applyFill="1" applyBorder="1" applyAlignment="1" applyProtection="1">
      <alignment horizontal="right" wrapText="1"/>
      <protection/>
    </xf>
    <xf numFmtId="188" fontId="5" fillId="0" borderId="1" xfId="15" applyNumberFormat="1" applyFont="1" applyFill="1" applyBorder="1" applyAlignment="1" applyProtection="1">
      <alignment horizontal="right" wrapText="1"/>
      <protection/>
    </xf>
    <xf numFmtId="188" fontId="6" fillId="3" borderId="21" xfId="15" applyNumberFormat="1" applyFont="1" applyFill="1" applyBorder="1" applyAlignment="1" applyProtection="1">
      <alignment horizontal="right" wrapText="1"/>
      <protection/>
    </xf>
    <xf numFmtId="43" fontId="6" fillId="0" borderId="20" xfId="15" applyFont="1" applyFill="1" applyBorder="1" applyAlignment="1" applyProtection="1">
      <alignment horizontal="center" wrapText="1"/>
      <protection/>
    </xf>
    <xf numFmtId="192" fontId="6" fillId="3" borderId="1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 applyProtection="1">
      <alignment wrapText="1"/>
      <protection/>
    </xf>
    <xf numFmtId="0" fontId="9" fillId="4" borderId="30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right" vertical="center" wrapText="1"/>
      <protection/>
    </xf>
    <xf numFmtId="188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92" fontId="6" fillId="3" borderId="2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6" fillId="4" borderId="18" xfId="0" applyFont="1" applyFill="1" applyBorder="1" applyAlignment="1" applyProtection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88" fontId="6" fillId="0" borderId="1" xfId="15" applyNumberFormat="1" applyFont="1" applyFill="1" applyBorder="1" applyAlignment="1" applyProtection="1">
      <alignment horizontal="center" vertical="center" wrapText="1"/>
      <protection/>
    </xf>
    <xf numFmtId="3" fontId="6" fillId="3" borderId="1" xfId="15" applyNumberFormat="1" applyFont="1" applyFill="1" applyBorder="1" applyAlignment="1" applyProtection="1">
      <alignment horizontal="center" vertical="center"/>
      <protection/>
    </xf>
    <xf numFmtId="192" fontId="6" fillId="0" borderId="1" xfId="0" applyNumberFormat="1" applyFont="1" applyFill="1" applyBorder="1" applyAlignment="1" applyProtection="1">
      <alignment horizontal="center" vertical="center" wrapText="1"/>
      <protection/>
    </xf>
    <xf numFmtId="192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6" borderId="16" xfId="0" applyFont="1" applyFill="1" applyBorder="1" applyAlignment="1" applyProtection="1">
      <alignment/>
      <protection/>
    </xf>
    <xf numFmtId="0" fontId="6" fillId="6" borderId="13" xfId="0" applyFont="1" applyFill="1" applyBorder="1" applyAlignment="1" applyProtection="1">
      <alignment/>
      <protection/>
    </xf>
    <xf numFmtId="1" fontId="6" fillId="6" borderId="8" xfId="0" applyNumberFormat="1" applyFont="1" applyFill="1" applyBorder="1" applyAlignment="1" applyProtection="1">
      <alignment horizontal="center"/>
      <protection/>
    </xf>
    <xf numFmtId="3" fontId="6" fillId="6" borderId="11" xfId="0" applyNumberFormat="1" applyFont="1" applyFill="1" applyBorder="1" applyAlignment="1" applyProtection="1">
      <alignment horizontal="center" wrapText="1"/>
      <protection/>
    </xf>
    <xf numFmtId="3" fontId="6" fillId="3" borderId="20" xfId="15" applyNumberFormat="1" applyFont="1" applyFill="1" applyBorder="1" applyAlignment="1" applyProtection="1">
      <alignment horizontal="right"/>
      <protection/>
    </xf>
    <xf numFmtId="3" fontId="6" fillId="3" borderId="1" xfId="15" applyNumberFormat="1" applyFont="1" applyFill="1" applyBorder="1" applyAlignment="1" applyProtection="1">
      <alignment horizontal="right" wrapText="1"/>
      <protection/>
    </xf>
    <xf numFmtId="192" fontId="6" fillId="0" borderId="1" xfId="0" applyNumberFormat="1" applyFont="1" applyFill="1" applyBorder="1" applyAlignment="1" applyProtection="1">
      <alignment horizontal="center" wrapText="1"/>
      <protection/>
    </xf>
    <xf numFmtId="3" fontId="6" fillId="3" borderId="20" xfId="15" applyNumberFormat="1" applyFont="1" applyFill="1" applyBorder="1" applyAlignment="1" applyProtection="1">
      <alignment wrapText="1"/>
      <protection/>
    </xf>
    <xf numFmtId="192" fontId="6" fillId="3" borderId="21" xfId="0" applyNumberFormat="1" applyFont="1" applyFill="1" applyBorder="1" applyAlignment="1" applyProtection="1">
      <alignment horizontal="center" wrapText="1"/>
      <protection/>
    </xf>
    <xf numFmtId="3" fontId="6" fillId="3" borderId="1" xfId="15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 applyProtection="1">
      <alignment horizontal="right" vertical="center" wrapText="1"/>
      <protection/>
    </xf>
    <xf numFmtId="188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6" fillId="3" borderId="1" xfId="15" applyNumberFormat="1" applyFont="1" applyFill="1" applyBorder="1" applyAlignment="1" applyProtection="1">
      <alignment horizontal="center" vertical="center" wrapText="1"/>
      <protection/>
    </xf>
    <xf numFmtId="192" fontId="6" fillId="3" borderId="17" xfId="0" applyNumberFormat="1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/>
      <protection/>
    </xf>
    <xf numFmtId="3" fontId="12" fillId="4" borderId="2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2" borderId="31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3" fontId="12" fillId="4" borderId="3" xfId="0" applyNumberFormat="1" applyFont="1" applyFill="1" applyBorder="1" applyAlignment="1" applyProtection="1">
      <alignment horizontal="center" wrapText="1"/>
      <protection/>
    </xf>
    <xf numFmtId="192" fontId="5" fillId="3" borderId="0" xfId="15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1" fillId="4" borderId="16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9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4" borderId="16" xfId="0" applyFont="1" applyFill="1" applyBorder="1" applyAlignment="1" applyProtection="1">
      <alignment horizontal="right"/>
      <protection/>
    </xf>
    <xf numFmtId="0" fontId="12" fillId="4" borderId="13" xfId="0" applyFont="1" applyFill="1" applyBorder="1" applyAlignment="1" applyProtection="1">
      <alignment horizontal="right"/>
      <protection/>
    </xf>
    <xf numFmtId="0" fontId="11" fillId="4" borderId="13" xfId="0" applyFont="1" applyFill="1" applyBorder="1" applyAlignment="1" applyProtection="1">
      <alignment horizontal="center"/>
      <protection/>
    </xf>
    <xf numFmtId="0" fontId="11" fillId="4" borderId="14" xfId="0" applyFont="1" applyFill="1" applyBorder="1" applyAlignment="1" applyProtection="1">
      <alignment horizontal="center"/>
      <protection/>
    </xf>
    <xf numFmtId="0" fontId="11" fillId="4" borderId="12" xfId="0" applyFont="1" applyFill="1" applyBorder="1" applyAlignment="1" applyProtection="1">
      <alignment horizontal="center"/>
      <protection/>
    </xf>
    <xf numFmtId="0" fontId="11" fillId="2" borderId="31" xfId="0" applyFont="1" applyFill="1" applyBorder="1" applyAlignment="1" applyProtection="1">
      <alignment/>
      <protection locked="0"/>
    </xf>
    <xf numFmtId="0" fontId="11" fillId="2" borderId="32" xfId="0" applyFont="1" applyFill="1" applyBorder="1" applyAlignment="1" applyProtection="1">
      <alignment/>
      <protection locked="0"/>
    </xf>
    <xf numFmtId="0" fontId="11" fillId="4" borderId="8" xfId="0" applyFont="1" applyFill="1" applyBorder="1" applyAlignment="1" applyProtection="1">
      <alignment/>
      <protection/>
    </xf>
    <xf numFmtId="0" fontId="11" fillId="4" borderId="13" xfId="0" applyFont="1" applyFill="1" applyBorder="1" applyAlignment="1" applyProtection="1">
      <alignment/>
      <protection/>
    </xf>
    <xf numFmtId="9" fontId="11" fillId="4" borderId="4" xfId="0" applyNumberFormat="1" applyFont="1" applyFill="1" applyBorder="1" applyAlignment="1" applyProtection="1">
      <alignment/>
      <protection/>
    </xf>
    <xf numFmtId="9" fontId="11" fillId="4" borderId="8" xfId="0" applyNumberFormat="1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 locked="0"/>
    </xf>
    <xf numFmtId="3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12" xfId="0" applyFont="1" applyFill="1" applyBorder="1" applyAlignment="1" applyProtection="1">
      <alignment/>
      <protection/>
    </xf>
    <xf numFmtId="0" fontId="12" fillId="4" borderId="6" xfId="0" applyFont="1" applyFill="1" applyBorder="1" applyAlignment="1" applyProtection="1">
      <alignment/>
      <protection/>
    </xf>
    <xf numFmtId="0" fontId="14" fillId="3" borderId="6" xfId="0" applyFont="1" applyFill="1" applyBorder="1" applyAlignment="1" applyProtection="1">
      <alignment/>
      <protection/>
    </xf>
    <xf numFmtId="3" fontId="29" fillId="3" borderId="6" xfId="0" applyNumberFormat="1" applyFont="1" applyFill="1" applyBorder="1" applyAlignment="1" applyProtection="1">
      <alignment/>
      <protection/>
    </xf>
    <xf numFmtId="9" fontId="11" fillId="3" borderId="7" xfId="0" applyNumberFormat="1" applyFont="1" applyFill="1" applyBorder="1" applyAlignment="1" applyProtection="1">
      <alignment/>
      <protection/>
    </xf>
    <xf numFmtId="3" fontId="11" fillId="2" borderId="3" xfId="0" applyNumberFormat="1" applyFont="1" applyFill="1" applyBorder="1" applyAlignment="1" applyProtection="1">
      <alignment horizontal="right"/>
      <protection locked="0"/>
    </xf>
    <xf numFmtId="3" fontId="11" fillId="2" borderId="0" xfId="0" applyNumberFormat="1" applyFont="1" applyFill="1" applyAlignment="1" applyProtection="1">
      <alignment horizontal="right"/>
      <protection locked="0"/>
    </xf>
    <xf numFmtId="3" fontId="11" fillId="3" borderId="2" xfId="0" applyNumberFormat="1" applyFont="1" applyFill="1" applyBorder="1" applyAlignment="1" applyProtection="1">
      <alignment horizontal="right"/>
      <protection/>
    </xf>
    <xf numFmtId="3" fontId="29" fillId="2" borderId="2" xfId="0" applyNumberFormat="1" applyFont="1" applyFill="1" applyBorder="1" applyAlignment="1" applyProtection="1">
      <alignment horizontal="left"/>
      <protection locked="0"/>
    </xf>
    <xf numFmtId="3" fontId="29" fillId="2" borderId="31" xfId="0" applyNumberFormat="1" applyFont="1" applyFill="1" applyBorder="1" applyAlignment="1" applyProtection="1">
      <alignment horizontal="left"/>
      <protection locked="0"/>
    </xf>
    <xf numFmtId="3" fontId="29" fillId="2" borderId="6" xfId="0" applyNumberFormat="1" applyFont="1" applyFill="1" applyBorder="1" applyAlignment="1" applyProtection="1">
      <alignment horizontal="left"/>
      <protection locked="0"/>
    </xf>
    <xf numFmtId="9" fontId="11" fillId="2" borderId="2" xfId="0" applyNumberFormat="1" applyFont="1" applyFill="1" applyBorder="1" applyAlignment="1" applyProtection="1">
      <alignment horizontal="left"/>
      <protection locked="0"/>
    </xf>
    <xf numFmtId="9" fontId="11" fillId="2" borderId="31" xfId="0" applyNumberFormat="1" applyFont="1" applyFill="1" applyBorder="1" applyAlignment="1" applyProtection="1">
      <alignment horizontal="left"/>
      <protection locked="0"/>
    </xf>
    <xf numFmtId="9" fontId="11" fillId="2" borderId="6" xfId="0" applyNumberFormat="1" applyFont="1" applyFill="1" applyBorder="1" applyAlignment="1" applyProtection="1">
      <alignment horizontal="left"/>
      <protection locked="0"/>
    </xf>
    <xf numFmtId="3" fontId="11" fillId="3" borderId="2" xfId="0" applyNumberFormat="1" applyFont="1" applyFill="1" applyBorder="1" applyAlignment="1" applyProtection="1">
      <alignment horizontal="center"/>
      <protection/>
    </xf>
    <xf numFmtId="0" fontId="11" fillId="2" borderId="3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22" fillId="4" borderId="2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6" xfId="0" applyFont="1" applyFill="1" applyBorder="1" applyAlignment="1" applyProtection="1">
      <alignment horizontal="center"/>
      <protection/>
    </xf>
    <xf numFmtId="0" fontId="21" fillId="4" borderId="6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5" fillId="4" borderId="32" xfId="0" applyFont="1" applyFill="1" applyBorder="1" applyAlignment="1" applyProtection="1">
      <alignment horizontal="right"/>
      <protection/>
    </xf>
    <xf numFmtId="0" fontId="25" fillId="4" borderId="8" xfId="0" applyFont="1" applyFill="1" applyBorder="1" applyAlignment="1" applyProtection="1">
      <alignment horizontal="right"/>
      <protection/>
    </xf>
    <xf numFmtId="0" fontId="25" fillId="3" borderId="6" xfId="0" applyFont="1" applyFill="1" applyBorder="1" applyAlignment="1" applyProtection="1">
      <alignment horizontal="right" vertical="center"/>
      <protection/>
    </xf>
    <xf numFmtId="0" fontId="25" fillId="4" borderId="2" xfId="0" applyFont="1" applyFill="1" applyBorder="1" applyAlignment="1" applyProtection="1">
      <alignment horizontal="right"/>
      <protection/>
    </xf>
    <xf numFmtId="0" fontId="25" fillId="4" borderId="7" xfId="0" applyFont="1" applyFill="1" applyBorder="1" applyAlignment="1" applyProtection="1">
      <alignment horizontal="right"/>
      <protection/>
    </xf>
    <xf numFmtId="3" fontId="21" fillId="3" borderId="2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/>
    </xf>
    <xf numFmtId="0" fontId="21" fillId="4" borderId="5" xfId="0" applyFont="1" applyFill="1" applyBorder="1" applyAlignment="1" applyProtection="1">
      <alignment horizontal="center"/>
      <protection/>
    </xf>
    <xf numFmtId="0" fontId="21" fillId="4" borderId="31" xfId="0" applyFont="1" applyFill="1" applyBorder="1" applyAlignment="1" applyProtection="1">
      <alignment horizontal="center"/>
      <protection/>
    </xf>
    <xf numFmtId="0" fontId="21" fillId="4" borderId="32" xfId="0" applyFont="1" applyFill="1" applyBorder="1" applyAlignment="1" applyProtection="1">
      <alignment horizontal="center"/>
      <protection/>
    </xf>
    <xf numFmtId="49" fontId="21" fillId="3" borderId="0" xfId="0" applyNumberFormat="1" applyFont="1" applyFill="1" applyBorder="1" applyAlignment="1">
      <alignment horizontal="center"/>
    </xf>
    <xf numFmtId="49" fontId="21" fillId="3" borderId="11" xfId="0" applyNumberFormat="1" applyFont="1" applyFill="1" applyBorder="1" applyAlignment="1">
      <alignment horizontal="center"/>
    </xf>
    <xf numFmtId="49" fontId="21" fillId="3" borderId="0" xfId="0" applyNumberFormat="1" applyFont="1" applyFill="1" applyAlignment="1">
      <alignment horizontal="center"/>
    </xf>
    <xf numFmtId="49" fontId="21" fillId="3" borderId="5" xfId="0" applyNumberFormat="1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49" fontId="21" fillId="3" borderId="31" xfId="0" applyNumberFormat="1" applyFont="1" applyFill="1" applyBorder="1" applyAlignment="1">
      <alignment horizontal="center"/>
    </xf>
    <xf numFmtId="1" fontId="21" fillId="3" borderId="31" xfId="0" applyNumberFormat="1" applyFont="1" applyFill="1" applyBorder="1" applyAlignment="1">
      <alignment horizontal="center"/>
    </xf>
    <xf numFmtId="3" fontId="21" fillId="3" borderId="31" xfId="0" applyNumberFormat="1" applyFont="1" applyFill="1" applyBorder="1" applyAlignment="1">
      <alignment horizontal="center" wrapText="1"/>
    </xf>
    <xf numFmtId="10" fontId="21" fillId="3" borderId="31" xfId="0" applyNumberFormat="1" applyFont="1" applyFill="1" applyBorder="1" applyAlignment="1">
      <alignment horizontal="center"/>
    </xf>
    <xf numFmtId="0" fontId="31" fillId="3" borderId="31" xfId="0" applyFont="1" applyFill="1" applyBorder="1" applyAlignment="1">
      <alignment horizontal="center"/>
    </xf>
    <xf numFmtId="3" fontId="21" fillId="3" borderId="31" xfId="0" applyNumberFormat="1" applyFont="1" applyFill="1" applyBorder="1" applyAlignment="1">
      <alignment horizontal="center"/>
    </xf>
    <xf numFmtId="0" fontId="22" fillId="4" borderId="2" xfId="0" applyFont="1" applyFill="1" applyBorder="1" applyAlignment="1" applyProtection="1">
      <alignment horizontal="center"/>
      <protection/>
    </xf>
    <xf numFmtId="0" fontId="22" fillId="0" borderId="2" xfId="0" applyFont="1" applyFill="1" applyBorder="1" applyAlignment="1" applyProtection="1">
      <alignment horizontal="center" vertical="center"/>
      <protection/>
    </xf>
    <xf numFmtId="204" fontId="21" fillId="4" borderId="5" xfId="0" applyNumberFormat="1" applyFont="1" applyFill="1" applyBorder="1" applyAlignment="1" applyProtection="1">
      <alignment horizontal="center"/>
      <protection/>
    </xf>
    <xf numFmtId="204" fontId="21" fillId="4" borderId="31" xfId="0" applyNumberFormat="1" applyFont="1" applyFill="1" applyBorder="1" applyAlignment="1" applyProtection="1">
      <alignment horizontal="center"/>
      <protection/>
    </xf>
    <xf numFmtId="204" fontId="21" fillId="4" borderId="32" xfId="0" applyNumberFormat="1" applyFont="1" applyFill="1" applyBorder="1" applyAlignment="1" applyProtection="1">
      <alignment horizontal="center"/>
      <protection/>
    </xf>
    <xf numFmtId="2" fontId="5" fillId="3" borderId="0" xfId="21" applyNumberFormat="1" applyFont="1" applyFill="1" applyBorder="1" applyAlignment="1" applyProtection="1">
      <alignment horizontal="center" vertical="center"/>
      <protection/>
    </xf>
    <xf numFmtId="10" fontId="5" fillId="3" borderId="0" xfId="21" applyNumberFormat="1" applyFont="1" applyFill="1" applyBorder="1" applyAlignment="1" applyProtection="1">
      <alignment horizontal="center" vertical="center"/>
      <protection/>
    </xf>
    <xf numFmtId="10" fontId="5" fillId="3" borderId="0" xfId="21" applyNumberFormat="1" applyFont="1" applyFill="1" applyAlignment="1" applyProtection="1">
      <alignment horizontal="center" vertical="center"/>
      <protection/>
    </xf>
    <xf numFmtId="10" fontId="11" fillId="2" borderId="3" xfId="0" applyNumberFormat="1" applyFont="1" applyFill="1" applyBorder="1" applyAlignment="1" applyProtection="1">
      <alignment horizontal="center"/>
      <protection locked="0"/>
    </xf>
    <xf numFmtId="10" fontId="11" fillId="2" borderId="0" xfId="0" applyNumberFormat="1" applyFont="1" applyFill="1" applyAlignment="1" applyProtection="1">
      <alignment horizontal="center"/>
      <protection locked="0"/>
    </xf>
    <xf numFmtId="10" fontId="11" fillId="3" borderId="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5" fillId="3" borderId="0" xfId="0" applyNumberFormat="1" applyFont="1" applyFill="1" applyBorder="1" applyAlignment="1" applyProtection="1">
      <alignment horizontal="right" wrapText="1"/>
      <protection/>
    </xf>
    <xf numFmtId="3" fontId="5" fillId="3" borderId="1" xfId="0" applyNumberFormat="1" applyFont="1" applyFill="1" applyBorder="1" applyAlignment="1" applyProtection="1">
      <alignment horizontal="right" wrapText="1"/>
      <protection/>
    </xf>
    <xf numFmtId="0" fontId="21" fillId="3" borderId="16" xfId="0" applyFont="1" applyFill="1" applyBorder="1" applyAlignment="1">
      <alignment horizontal="right"/>
    </xf>
    <xf numFmtId="0" fontId="21" fillId="3" borderId="15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right"/>
    </xf>
    <xf numFmtId="0" fontId="21" fillId="3" borderId="14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1" fillId="3" borderId="11" xfId="0" applyFont="1" applyFill="1" applyBorder="1" applyAlignment="1">
      <alignment horizontal="right"/>
    </xf>
    <xf numFmtId="0" fontId="21" fillId="3" borderId="13" xfId="0" applyFont="1" applyFill="1" applyBorder="1" applyAlignment="1">
      <alignment horizontal="right"/>
    </xf>
    <xf numFmtId="0" fontId="21" fillId="3" borderId="3" xfId="0" applyFont="1" applyFill="1" applyBorder="1" applyAlignment="1">
      <alignment horizontal="right"/>
    </xf>
    <xf numFmtId="0" fontId="21" fillId="3" borderId="8" xfId="0" applyFont="1" applyFill="1" applyBorder="1" applyAlignment="1">
      <alignment horizontal="right"/>
    </xf>
    <xf numFmtId="0" fontId="21" fillId="3" borderId="5" xfId="0" applyFont="1" applyFill="1" applyBorder="1" applyAlignment="1">
      <alignment horizontal="right"/>
    </xf>
    <xf numFmtId="0" fontId="21" fillId="3" borderId="32" xfId="0" applyFont="1" applyFill="1" applyBorder="1" applyAlignment="1">
      <alignment horizontal="right"/>
    </xf>
    <xf numFmtId="0" fontId="6" fillId="0" borderId="13" xfId="0" applyFont="1" applyBorder="1" applyAlignment="1" applyProtection="1">
      <alignment horizontal="left" wrapText="1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4" xfId="0" applyFont="1" applyFill="1" applyBorder="1" applyAlignment="1" applyProtection="1">
      <alignment vertical="center"/>
      <protection/>
    </xf>
    <xf numFmtId="0" fontId="6" fillId="3" borderId="13" xfId="0" applyFont="1" applyFill="1" applyBorder="1" applyAlignment="1" applyProtection="1">
      <alignment vertical="center"/>
      <protection/>
    </xf>
    <xf numFmtId="188" fontId="15" fillId="2" borderId="7" xfId="15" applyNumberFormat="1" applyFont="1" applyFill="1" applyBorder="1" applyAlignment="1" applyProtection="1">
      <alignment horizontal="left"/>
      <protection/>
    </xf>
    <xf numFmtId="205" fontId="21" fillId="3" borderId="31" xfId="0" applyNumberFormat="1" applyFont="1" applyFill="1" applyBorder="1" applyAlignment="1">
      <alignment horizontal="center"/>
    </xf>
    <xf numFmtId="205" fontId="21" fillId="3" borderId="11" xfId="0" applyNumberFormat="1" applyFont="1" applyFill="1" applyBorder="1" applyAlignment="1">
      <alignment horizontal="center"/>
    </xf>
    <xf numFmtId="205" fontId="21" fillId="3" borderId="31" xfId="0" applyNumberFormat="1" applyFont="1" applyFill="1" applyBorder="1" applyAlignment="1">
      <alignment horizontal="center" wrapText="1"/>
    </xf>
    <xf numFmtId="205" fontId="21" fillId="3" borderId="11" xfId="0" applyNumberFormat="1" applyFont="1" applyFill="1" applyBorder="1" applyAlignment="1">
      <alignment horizontal="center" wrapText="1"/>
    </xf>
    <xf numFmtId="205" fontId="21" fillId="3" borderId="0" xfId="0" applyNumberFormat="1" applyFont="1" applyFill="1" applyBorder="1" applyAlignment="1">
      <alignment horizontal="center" wrapText="1"/>
    </xf>
    <xf numFmtId="205" fontId="21" fillId="3" borderId="32" xfId="0" applyNumberFormat="1" applyFont="1" applyFill="1" applyBorder="1" applyAlignment="1">
      <alignment horizontal="center"/>
    </xf>
    <xf numFmtId="205" fontId="21" fillId="3" borderId="8" xfId="0" applyNumberFormat="1" applyFont="1" applyFill="1" applyBorder="1" applyAlignment="1">
      <alignment horizontal="center"/>
    </xf>
    <xf numFmtId="205" fontId="21" fillId="3" borderId="32" xfId="0" applyNumberFormat="1" applyFont="1" applyFill="1" applyBorder="1" applyAlignment="1">
      <alignment horizontal="center" wrapText="1"/>
    </xf>
    <xf numFmtId="205" fontId="21" fillId="3" borderId="8" xfId="0" applyNumberFormat="1" applyFont="1" applyFill="1" applyBorder="1" applyAlignment="1">
      <alignment horizontal="center" wrapText="1"/>
    </xf>
    <xf numFmtId="205" fontId="21" fillId="3" borderId="3" xfId="0" applyNumberFormat="1" applyFont="1" applyFill="1" applyBorder="1" applyAlignment="1">
      <alignment horizontal="center" wrapText="1"/>
    </xf>
    <xf numFmtId="196" fontId="25" fillId="3" borderId="31" xfId="0" applyNumberFormat="1" applyFont="1" applyFill="1" applyBorder="1" applyAlignment="1" applyProtection="1">
      <alignment/>
      <protection/>
    </xf>
    <xf numFmtId="196" fontId="25" fillId="3" borderId="32" xfId="0" applyNumberFormat="1" applyFont="1" applyFill="1" applyBorder="1" applyAlignment="1" applyProtection="1">
      <alignment/>
      <protection/>
    </xf>
    <xf numFmtId="206" fontId="23" fillId="3" borderId="29" xfId="0" applyNumberFormat="1" applyFont="1" applyFill="1" applyBorder="1" applyAlignment="1">
      <alignment/>
    </xf>
    <xf numFmtId="207" fontId="21" fillId="2" borderId="4" xfId="0" applyNumberFormat="1" applyFont="1" applyFill="1" applyBorder="1" applyAlignment="1" applyProtection="1">
      <alignment horizontal="center"/>
      <protection locked="0"/>
    </xf>
    <xf numFmtId="207" fontId="21" fillId="2" borderId="11" xfId="0" applyNumberFormat="1" applyFont="1" applyFill="1" applyBorder="1" applyAlignment="1" applyProtection="1">
      <alignment horizontal="center"/>
      <protection locked="0"/>
    </xf>
    <xf numFmtId="207" fontId="21" fillId="2" borderId="8" xfId="0" applyNumberFormat="1" applyFont="1" applyFill="1" applyBorder="1" applyAlignment="1" applyProtection="1">
      <alignment horizontal="right"/>
      <protection locked="0"/>
    </xf>
    <xf numFmtId="49" fontId="21" fillId="2" borderId="5" xfId="0" applyNumberFormat="1" applyFont="1" applyFill="1" applyBorder="1" applyAlignment="1" applyProtection="1">
      <alignment horizontal="center"/>
      <protection locked="0"/>
    </xf>
    <xf numFmtId="49" fontId="21" fillId="2" borderId="31" xfId="0" applyNumberFormat="1" applyFont="1" applyFill="1" applyBorder="1" applyAlignment="1" applyProtection="1">
      <alignment horizontal="center"/>
      <protection locked="0"/>
    </xf>
    <xf numFmtId="49" fontId="21" fillId="2" borderId="32" xfId="0" applyNumberFormat="1" applyFont="1" applyFill="1" applyBorder="1" applyAlignment="1" applyProtection="1">
      <alignment horizontal="right"/>
      <protection locked="0"/>
    </xf>
    <xf numFmtId="206" fontId="23" fillId="3" borderId="29" xfId="0" applyNumberFormat="1" applyFont="1" applyFill="1" applyBorder="1" applyAlignment="1" applyProtection="1">
      <alignment/>
      <protection/>
    </xf>
    <xf numFmtId="207" fontId="6" fillId="6" borderId="8" xfId="0" applyNumberFormat="1" applyFont="1" applyFill="1" applyBorder="1" applyAlignment="1" applyProtection="1">
      <alignment horizontal="center" wrapText="1"/>
      <protection/>
    </xf>
    <xf numFmtId="10" fontId="6" fillId="6" borderId="11" xfId="0" applyNumberFormat="1" applyFont="1" applyFill="1" applyBorder="1" applyAlignment="1" applyProtection="1">
      <alignment horizontal="center"/>
      <protection/>
    </xf>
    <xf numFmtId="207" fontId="6" fillId="6" borderId="11" xfId="0" applyNumberFormat="1" applyFont="1" applyFill="1" applyBorder="1" applyAlignment="1" applyProtection="1">
      <alignment horizontal="center" wrapText="1"/>
      <protection/>
    </xf>
    <xf numFmtId="207" fontId="21" fillId="2" borderId="8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 wrapText="1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192" fontId="5" fillId="2" borderId="1" xfId="15" applyNumberFormat="1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12" fillId="4" borderId="5" xfId="0" applyFont="1" applyFill="1" applyBorder="1" applyAlignment="1" applyProtection="1">
      <alignment horizontal="center" vertical="center" wrapText="1"/>
      <protection/>
    </xf>
    <xf numFmtId="0" fontId="12" fillId="4" borderId="32" xfId="0" applyFont="1" applyFill="1" applyBorder="1" applyAlignment="1" applyProtection="1">
      <alignment horizontal="center" vertical="center" wrapText="1"/>
      <protection/>
    </xf>
    <xf numFmtId="3" fontId="12" fillId="4" borderId="6" xfId="0" applyNumberFormat="1" applyFont="1" applyFill="1" applyBorder="1" applyAlignment="1" applyProtection="1">
      <alignment horizontal="center" vertical="center" wrapText="1"/>
      <protection/>
    </xf>
    <xf numFmtId="3" fontId="12" fillId="4" borderId="7" xfId="0" applyNumberFormat="1" applyFont="1" applyFill="1" applyBorder="1" applyAlignment="1" applyProtection="1">
      <alignment horizontal="center" vertical="center" wrapText="1"/>
      <protection/>
    </xf>
    <xf numFmtId="9" fontId="12" fillId="4" borderId="12" xfId="0" applyNumberFormat="1" applyFont="1" applyFill="1" applyBorder="1" applyAlignment="1" applyProtection="1">
      <alignment horizontal="center" vertical="center" wrapText="1"/>
      <protection/>
    </xf>
    <xf numFmtId="9" fontId="12" fillId="4" borderId="7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3" fontId="12" fillId="4" borderId="5" xfId="0" applyNumberFormat="1" applyFont="1" applyFill="1" applyBorder="1" applyAlignment="1" applyProtection="1">
      <alignment horizontal="center" vertical="center" wrapText="1"/>
      <protection/>
    </xf>
    <xf numFmtId="3" fontId="12" fillId="4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wrapText="1"/>
      <protection/>
    </xf>
    <xf numFmtId="0" fontId="6" fillId="4" borderId="12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4" borderId="32" xfId="0" applyFont="1" applyFill="1" applyBorder="1" applyAlignment="1" applyProtection="1">
      <alignment horizontal="center" vertical="center" wrapText="1"/>
      <protection/>
    </xf>
    <xf numFmtId="0" fontId="6" fillId="8" borderId="0" xfId="0" applyFont="1" applyFill="1" applyBorder="1" applyAlignment="1" applyProtection="1">
      <alignment horizont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8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705"/>
          <c:w val="0.87875"/>
          <c:h val="0.6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ProjPays!$H$2:$H$27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ProjPays!$I$2:$I$27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ProjPays!$H$2:$H$27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LogisticFit!$C$4:$C$29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44665707"/>
        <c:axId val="61152476"/>
      </c:scatterChart>
      <c:valAx>
        <c:axId val="4466570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1152476"/>
        <c:crosses val="autoZero"/>
        <c:crossBetween val="midCat"/>
        <c:dispUnits/>
        <c:majorUnit val="5"/>
      </c:valAx>
      <c:valAx>
        <c:axId val="611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VIH adultes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46657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95"/>
          <c:w val="0.91075"/>
          <c:h val="0.7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Proj8!$H$2:$H$27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Proj8!$I$2:$I$27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Proj8!$H$2:$H$27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LogisticFit!$AD$4:$AD$29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0919981"/>
        <c:axId val="12103230"/>
      </c:scatterChart>
      <c:valAx>
        <c:axId val="1091998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2103230"/>
        <c:crosses val="autoZero"/>
        <c:crossBetween val="midCat"/>
        <c:dispUnits/>
        <c:majorUnit val="5"/>
      </c:valAx>
      <c:valAx>
        <c:axId val="1210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adultes 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09199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95"/>
          <c:w val="0.91075"/>
          <c:h val="0.7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Proj9!$H$2:$H$27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Proj9!$I$2:$I$27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Proj9!$H$2:$H$27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LogisticFit!$AG$4:$AG$29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40837535"/>
        <c:axId val="19506000"/>
      </c:scatterChart>
      <c:valAx>
        <c:axId val="4083753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9506000"/>
        <c:crosses val="autoZero"/>
        <c:crossBetween val="midCat"/>
        <c:dispUnits/>
        <c:majorUnit val="5"/>
      </c:valAx>
      <c:valAx>
        <c:axId val="19506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adultes 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08375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95"/>
          <c:w val="0.91075"/>
          <c:h val="0.7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Proj10!$H$2:$H$27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Proj10!$I$2:$I$27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Proj10!$H$2:$H$27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LogisticFit!$AJ$4:$AJ$29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6482129"/>
        <c:axId val="2262434"/>
      </c:scatterChart>
      <c:valAx>
        <c:axId val="3648212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262434"/>
        <c:crosses val="autoZero"/>
        <c:crossBetween val="midCat"/>
        <c:dispUnits/>
        <c:majorUnit val="5"/>
      </c:valAx>
      <c:valAx>
        <c:axId val="226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adultes 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64821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695"/>
          <c:w val="0.87725"/>
          <c:h val="0.7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ProjRemaining!$H$2:$H$27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ProjRemaining!$I$2:$I$27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ProjRemaining!$H$2:$H$27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LogisticFit!$F$4:$F$29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54403485"/>
        <c:axId val="44606126"/>
      </c:scatterChart>
      <c:valAx>
        <c:axId val="5440348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4606126"/>
        <c:crosses val="autoZero"/>
        <c:crossBetween val="midCat"/>
        <c:dispUnits/>
        <c:majorUnit val="5"/>
      </c:valAx>
      <c:valAx>
        <c:axId val="44606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VIH Adultes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44034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5625"/>
          <c:w val="0.9045"/>
          <c:h val="0.7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Proj1!$H$2:$H$27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Proj1!$I$2:$I$27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Proj1!$H$2:$H$27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LogisticFit!$I$4:$I$29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56326415"/>
        <c:axId val="66145728"/>
      </c:scatterChart>
      <c:valAx>
        <c:axId val="5632641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6145728"/>
        <c:crosses val="autoZero"/>
        <c:crossBetween val="midCat"/>
        <c:dispUnits/>
        <c:majorUnit val="5"/>
      </c:valAx>
      <c:valAx>
        <c:axId val="66145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adultes 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63264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695"/>
          <c:w val="0.9135"/>
          <c:h val="0.7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Proj2!$H$2:$H$27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Proj2!$I$2:$I$27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Proj2!$H$2:$H$27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LogisticFit!$L$4:$L$29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56203713"/>
        <c:axId val="56206866"/>
      </c:scatterChart>
      <c:valAx>
        <c:axId val="5620371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6206866"/>
        <c:crosses val="autoZero"/>
        <c:crossBetween val="midCat"/>
        <c:dispUnits/>
        <c:majorUnit val="5"/>
      </c:valAx>
      <c:valAx>
        <c:axId val="5620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Prévalence adultes (%) (%)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62037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95"/>
          <c:w val="0.91075"/>
          <c:h val="0.7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Proj3!$H$2:$H$27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Proj3!$I$2:$I$27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Proj3!$H$2:$H$27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56462259"/>
        <c:axId val="10040228"/>
      </c:scatterChart>
      <c:valAx>
        <c:axId val="5646225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040228"/>
        <c:crosses val="autoZero"/>
        <c:crossBetween val="midCat"/>
        <c:dispUnits/>
        <c:majorUnit val="5"/>
      </c:valAx>
      <c:valAx>
        <c:axId val="10040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adultes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64622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95"/>
          <c:w val="0.91075"/>
          <c:h val="0.7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Proj4!$H$2:$H$27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Proj4!$I$2:$I$27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Proj4!$H$2:$H$27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LogisticFit!$R$4:$R$29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7952101"/>
        <c:axId val="40140406"/>
      </c:scatterChart>
      <c:valAx>
        <c:axId val="795210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140406"/>
        <c:crosses val="autoZero"/>
        <c:crossBetween val="midCat"/>
        <c:dispUnits/>
        <c:majorUnit val="5"/>
      </c:valAx>
      <c:valAx>
        <c:axId val="40140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adultes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79521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695"/>
          <c:w val="0.91125"/>
          <c:h val="0.70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Proj5!$H$2:$H$27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Proj5!$I$2:$I$27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Proj5!$H$2:$H$27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LogisticFit!$U$4:$U$29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0147415"/>
        <c:axId val="26021512"/>
      </c:scatterChart>
      <c:valAx>
        <c:axId val="3014741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6021512"/>
        <c:crosses val="autoZero"/>
        <c:crossBetween val="midCat"/>
        <c:dispUnits/>
        <c:majorUnit val="5"/>
      </c:valAx>
      <c:valAx>
        <c:axId val="2602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adultes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01474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5"/>
          <c:w val="0.9125"/>
          <c:h val="0.7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Proj6!$H$2:$H$27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Proj6!$I$2:$I$27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Proj6!$H$2:$H$27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LogisticFit!$X$4:$X$29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27367689"/>
        <c:axId val="2190298"/>
      </c:scatterChart>
      <c:valAx>
        <c:axId val="2736768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90298"/>
        <c:crosses val="autoZero"/>
        <c:crossBetween val="midCat"/>
        <c:dispUnits/>
        <c:majorUnit val="5"/>
      </c:valAx>
      <c:valAx>
        <c:axId val="219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Prévalence adultes  (%)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73676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95"/>
          <c:w val="0.91075"/>
          <c:h val="0.7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Proj7!$H$2:$H$27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Proj7!$I$2:$I$27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Proj7!$H$2:$H$27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LogisticFit!$AA$4:$AA$29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43196411"/>
        <c:axId val="9248364"/>
      </c:scatterChart>
      <c:valAx>
        <c:axId val="4319641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9248364"/>
        <c:crosses val="autoZero"/>
        <c:crossBetween val="midCat"/>
        <c:dispUnits/>
        <c:majorUnit val="5"/>
      </c:valAx>
      <c:valAx>
        <c:axId val="924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Prévalence adultes 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31964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28575</xdr:rowOff>
    </xdr:from>
    <xdr:to>
      <xdr:col>5</xdr:col>
      <xdr:colOff>990600</xdr:colOff>
      <xdr:row>26</xdr:row>
      <xdr:rowOff>47625</xdr:rowOff>
    </xdr:to>
    <xdr:graphicFrame>
      <xdr:nvGraphicFramePr>
        <xdr:cNvPr id="1" name="Chart 3"/>
        <xdr:cNvGraphicFramePr/>
      </xdr:nvGraphicFramePr>
      <xdr:xfrm>
        <a:off x="123825" y="1457325"/>
        <a:ext cx="5400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5</xdr:col>
      <xdr:colOff>857250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438275"/>
        <a:ext cx="5200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5</xdr:col>
      <xdr:colOff>857250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438275"/>
        <a:ext cx="5200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5</xdr:col>
      <xdr:colOff>857250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438275"/>
        <a:ext cx="5200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9525</xdr:rowOff>
    </xdr:from>
    <xdr:to>
      <xdr:col>5</xdr:col>
      <xdr:colOff>1000125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61925" y="1419225"/>
        <a:ext cx="5372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9525</xdr:rowOff>
    </xdr:from>
    <xdr:to>
      <xdr:col>5</xdr:col>
      <xdr:colOff>1028700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61925" y="1419225"/>
        <a:ext cx="53435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38100</xdr:rowOff>
    </xdr:from>
    <xdr:to>
      <xdr:col>5</xdr:col>
      <xdr:colOff>971550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42875" y="1447800"/>
        <a:ext cx="52578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5</xdr:col>
      <xdr:colOff>857250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438275"/>
        <a:ext cx="5200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5</xdr:col>
      <xdr:colOff>857250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171450" y="1438275"/>
        <a:ext cx="5200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5</xdr:col>
      <xdr:colOff>857250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171450" y="1438275"/>
        <a:ext cx="5200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5</xdr:col>
      <xdr:colOff>857250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171450" y="1438275"/>
        <a:ext cx="5200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5</xdr:col>
      <xdr:colOff>857250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438275"/>
        <a:ext cx="5200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V3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5" sqref="H15"/>
    </sheetView>
  </sheetViews>
  <sheetFormatPr defaultColWidth="9.140625" defaultRowHeight="12.75"/>
  <cols>
    <col min="1" max="1" width="10.8515625" style="225" customWidth="1"/>
    <col min="2" max="2" width="10.140625" style="226" customWidth="1"/>
    <col min="3" max="3" width="10.421875" style="368" customWidth="1"/>
    <col min="4" max="4" width="10.00390625" style="226" customWidth="1"/>
    <col min="5" max="5" width="10.140625" style="368" customWidth="1"/>
    <col min="6" max="6" width="10.140625" style="226" customWidth="1"/>
    <col min="7" max="7" width="10.140625" style="368" customWidth="1"/>
    <col min="8" max="8" width="10.28125" style="226" customWidth="1"/>
    <col min="9" max="9" width="9.7109375" style="368" customWidth="1"/>
    <col min="10" max="10" width="10.421875" style="226" customWidth="1"/>
    <col min="11" max="11" width="10.421875" style="368" customWidth="1"/>
    <col min="12" max="12" width="9.421875" style="226" customWidth="1"/>
    <col min="13" max="13" width="9.8515625" style="226" customWidth="1"/>
    <col min="14" max="16" width="6.140625" style="226" customWidth="1"/>
    <col min="17" max="22" width="6.140625" style="210" customWidth="1"/>
    <col min="23" max="16384" width="9.140625" style="210" customWidth="1"/>
  </cols>
  <sheetData>
    <row r="1" spans="1:13" ht="12.75">
      <c r="A1" s="511" t="s">
        <v>50</v>
      </c>
      <c r="B1" s="512" t="s">
        <v>51</v>
      </c>
      <c r="C1" s="510" t="s">
        <v>71</v>
      </c>
      <c r="D1" s="512" t="s">
        <v>52</v>
      </c>
      <c r="E1" s="510" t="s">
        <v>54</v>
      </c>
      <c r="F1" s="512" t="s">
        <v>55</v>
      </c>
      <c r="G1" s="510" t="s">
        <v>56</v>
      </c>
      <c r="H1" s="512" t="s">
        <v>57</v>
      </c>
      <c r="I1" s="510" t="s">
        <v>58</v>
      </c>
      <c r="J1" s="512" t="s">
        <v>65</v>
      </c>
      <c r="K1" s="510" t="s">
        <v>66</v>
      </c>
      <c r="L1" s="509" t="s">
        <v>67</v>
      </c>
      <c r="M1" s="512" t="s">
        <v>68</v>
      </c>
    </row>
    <row r="2" spans="1:16" ht="12.75">
      <c r="A2" s="231" t="s">
        <v>37</v>
      </c>
      <c r="B2" s="513">
        <f>IF(Installation!C19&gt;0,COUNTIF(Installation!B9:B19,"*"),COUNTIF(Installation!B9:B19,"*"))</f>
        <v>0</v>
      </c>
      <c r="C2" s="363"/>
      <c r="D2" s="518"/>
      <c r="E2" s="363"/>
      <c r="F2" s="518"/>
      <c r="G2" s="363"/>
      <c r="H2" s="518"/>
      <c r="I2" s="363"/>
      <c r="J2" s="518"/>
      <c r="K2" s="363"/>
      <c r="L2" s="232"/>
      <c r="M2" s="518"/>
      <c r="N2" s="230"/>
      <c r="O2" s="230"/>
      <c r="P2" s="230"/>
    </row>
    <row r="3" spans="1:22" ht="12.75">
      <c r="A3" s="509" t="s">
        <v>38</v>
      </c>
      <c r="B3" s="514">
        <f>Pays!B1</f>
        <v>0</v>
      </c>
      <c r="C3" s="510" t="str">
        <f>IF('R0'!B2&gt;0,'R0'!B1,"NA")</f>
        <v>NA</v>
      </c>
      <c r="D3" s="514">
        <f>'R1'!$B$1</f>
        <v>0</v>
      </c>
      <c r="E3" s="510">
        <f>'R2'!$B$1</f>
        <v>0</v>
      </c>
      <c r="F3" s="514">
        <f>'R3'!$B$1</f>
        <v>0</v>
      </c>
      <c r="G3" s="510">
        <f>'R4'!$B$1</f>
        <v>0</v>
      </c>
      <c r="H3" s="514">
        <f>'R5'!$B$1</f>
        <v>0</v>
      </c>
      <c r="I3" s="510">
        <f>'R6'!$B$1</f>
        <v>0</v>
      </c>
      <c r="J3" s="514">
        <f>'R7'!$B$1</f>
        <v>0</v>
      </c>
      <c r="K3" s="510">
        <f>'R8'!$B$1</f>
        <v>0</v>
      </c>
      <c r="L3" s="509">
        <f>'R9'!$B$1</f>
        <v>0</v>
      </c>
      <c r="M3" s="514">
        <f>'R10'!$B$1</f>
        <v>0</v>
      </c>
      <c r="Q3" s="226"/>
      <c r="R3" s="226"/>
      <c r="S3" s="226"/>
      <c r="T3" s="226"/>
      <c r="U3" s="226"/>
      <c r="V3" s="226"/>
    </row>
    <row r="4" spans="1:22" ht="12.75">
      <c r="A4" s="231" t="s">
        <v>32</v>
      </c>
      <c r="B4" s="515">
        <f>Installation!$B$3</f>
        <v>0</v>
      </c>
      <c r="C4" s="364" t="str">
        <f>IF(Installation!$C$19&gt;0,Installation!$B$3,"NA")</f>
        <v>NA</v>
      </c>
      <c r="D4" s="515">
        <f>Installation!$B$3</f>
        <v>0</v>
      </c>
      <c r="E4" s="364">
        <f>Installation!$B$3</f>
        <v>0</v>
      </c>
      <c r="F4" s="515">
        <f>Installation!$B$3</f>
        <v>0</v>
      </c>
      <c r="G4" s="364">
        <f>Installation!$B$3</f>
        <v>0</v>
      </c>
      <c r="H4" s="515">
        <f>Installation!$B$3</f>
        <v>0</v>
      </c>
      <c r="I4" s="364">
        <f>Installation!$B$3</f>
        <v>0</v>
      </c>
      <c r="J4" s="515">
        <f>Installation!$B$3</f>
        <v>0</v>
      </c>
      <c r="K4" s="364">
        <f>Installation!$B$3</f>
        <v>0</v>
      </c>
      <c r="L4" s="231">
        <f>Installation!$B$3</f>
        <v>0</v>
      </c>
      <c r="M4" s="515">
        <f>Installation!$B$3</f>
        <v>0</v>
      </c>
      <c r="N4" s="221"/>
      <c r="O4" s="221"/>
      <c r="P4" s="221"/>
      <c r="Q4" s="221"/>
      <c r="R4" s="221"/>
      <c r="S4" s="221"/>
      <c r="T4" s="221"/>
      <c r="U4" s="221"/>
      <c r="V4" s="221"/>
    </row>
    <row r="5" spans="1:16" ht="12.75">
      <c r="A5" s="231" t="s">
        <v>29</v>
      </c>
      <c r="B5" s="516">
        <f>Adult_Pop</f>
        <v>0</v>
      </c>
      <c r="C5" s="367" t="str">
        <f>IF(Installation!$C$19&gt;0,Installation!$C$19,"NA")</f>
        <v>NA</v>
      </c>
      <c r="D5" s="519">
        <f>Installation!$C9</f>
        <v>0</v>
      </c>
      <c r="E5" s="365">
        <f>Installation!$C10</f>
        <v>0</v>
      </c>
      <c r="F5" s="519">
        <f>Installation!$C11</f>
        <v>0</v>
      </c>
      <c r="G5" s="365">
        <f>Installation!$C12</f>
        <v>0</v>
      </c>
      <c r="H5" s="519">
        <f>Installation!$C13</f>
        <v>0</v>
      </c>
      <c r="I5" s="365">
        <f>Installation!$C14</f>
        <v>0</v>
      </c>
      <c r="J5" s="519">
        <f>Installation!$C15</f>
        <v>0</v>
      </c>
      <c r="K5" s="365">
        <f>Installation!$C16</f>
        <v>0</v>
      </c>
      <c r="L5" s="233">
        <f>Installation!$C17</f>
        <v>0</v>
      </c>
      <c r="M5" s="519">
        <f>Installation!$C18</f>
        <v>0</v>
      </c>
      <c r="N5" s="228"/>
      <c r="O5" s="228"/>
      <c r="P5" s="228"/>
    </row>
    <row r="6" spans="1:16" s="222" customFormat="1" ht="12.75">
      <c r="A6" s="234" t="s">
        <v>39</v>
      </c>
      <c r="B6" s="517">
        <f>IF(B$5&gt;0,Pays!$B46,"")</f>
      </c>
      <c r="C6" s="366" t="str">
        <f>IF(Installation!$C$19&gt;0,'R0'!$B44,"NA")</f>
        <v>NA</v>
      </c>
      <c r="D6" s="517">
        <f>IF(D$5&gt;0,'R1'!$B44,"")</f>
      </c>
      <c r="E6" s="366">
        <f>IF(E$5&gt;0,'R2'!$B44,"")</f>
      </c>
      <c r="F6" s="517">
        <f>IF(F5&gt;0,'R3'!$B44,"")</f>
      </c>
      <c r="G6" s="366">
        <f>IF(G5&gt;0,'R4'!$B44,"")</f>
      </c>
      <c r="H6" s="517">
        <f>IF(H5&gt;0,'R5'!$B44,"")</f>
      </c>
      <c r="I6" s="366">
        <f>IF(I5&gt;0,'R6'!$B44,"")</f>
      </c>
      <c r="J6" s="517">
        <f>IF(J5&gt;0,'R7'!$B44,"")</f>
      </c>
      <c r="K6" s="366">
        <f>IF(K5&gt;0,'R8'!$B44,"")</f>
      </c>
      <c r="L6" s="234">
        <f>IF(L5&gt;0,'R9'!$B44,"")</f>
      </c>
      <c r="M6" s="517">
        <f>IF(M5&gt;0,'R10'!$B44,"")</f>
      </c>
      <c r="N6" s="223"/>
      <c r="O6" s="223"/>
      <c r="P6" s="223"/>
    </row>
    <row r="7" spans="1:16" s="222" customFormat="1" ht="12.75">
      <c r="A7" s="235" t="s">
        <v>31</v>
      </c>
      <c r="B7" s="517">
        <f>IF(B$5&gt;0,Pays!$B47,"")</f>
      </c>
      <c r="C7" s="366" t="str">
        <f>IF(Installation!$C$19&gt;0,'R0'!$B45,"NA")</f>
        <v>NA</v>
      </c>
      <c r="D7" s="517">
        <f>IF(D$5&gt;0,'R1'!$B45,"")</f>
      </c>
      <c r="E7" s="366">
        <f>IF(E$5&gt;0,'R2'!$B45,"")</f>
      </c>
      <c r="F7" s="517">
        <f>IF(F5&gt;0,'R3'!$B45,"")</f>
      </c>
      <c r="G7" s="366">
        <f>IF(G5&gt;0,'R4'!$B45,"")</f>
      </c>
      <c r="H7" s="517">
        <f>IF(H5&gt;0,'R5'!$B45,"")</f>
      </c>
      <c r="I7" s="366">
        <f>IF(I5&gt;0,'R6'!$B45,"")</f>
      </c>
      <c r="J7" s="517">
        <f>IF(J5&gt;0,'R7'!$B45,"")</f>
      </c>
      <c r="K7" s="366">
        <f>IF(K5&gt;0,'R8'!$B45,"")</f>
      </c>
      <c r="L7" s="234">
        <f>IF(L5&gt;0,'R9'!$B45,"")</f>
      </c>
      <c r="M7" s="517">
        <f>IF(M5&gt;0,'R10'!$B45,"")</f>
      </c>
      <c r="N7" s="223"/>
      <c r="O7" s="223"/>
      <c r="P7" s="223"/>
    </row>
    <row r="8" spans="1:16" s="224" customFormat="1" ht="12.75">
      <c r="A8" s="231">
        <f>ProjPays!H2</f>
        <v>1980</v>
      </c>
      <c r="B8" s="552">
        <v>0</v>
      </c>
      <c r="C8" s="553">
        <v>0</v>
      </c>
      <c r="D8" s="554">
        <v>0</v>
      </c>
      <c r="E8" s="555">
        <v>0</v>
      </c>
      <c r="F8" s="554">
        <v>0</v>
      </c>
      <c r="G8" s="555">
        <v>0</v>
      </c>
      <c r="H8" s="554">
        <v>0</v>
      </c>
      <c r="I8" s="555">
        <v>0</v>
      </c>
      <c r="J8" s="554">
        <v>0</v>
      </c>
      <c r="K8" s="555">
        <v>0</v>
      </c>
      <c r="L8" s="556">
        <v>0</v>
      </c>
      <c r="M8" s="554">
        <v>0</v>
      </c>
      <c r="N8" s="229"/>
      <c r="O8" s="229"/>
      <c r="P8" s="229"/>
    </row>
    <row r="9" spans="1:16" ht="12.75">
      <c r="A9" s="231">
        <f>ProjPays!H3</f>
        <v>1981</v>
      </c>
      <c r="B9" s="552">
        <f>LogisticFit!C5</f>
      </c>
      <c r="C9" s="553" t="str">
        <f>IF(Installation!$C$19&gt;0,LogisticFit!F5,"NA")</f>
        <v>NA</v>
      </c>
      <c r="D9" s="554">
        <f>LogisticFit!I5</f>
      </c>
      <c r="E9" s="555">
        <f>LogisticFit!$L5</f>
      </c>
      <c r="F9" s="554">
        <f>LogisticFit!$O5</f>
      </c>
      <c r="G9" s="555">
        <f>LogisticFit!$R5</f>
      </c>
      <c r="H9" s="554">
        <f>LogisticFit!$U5</f>
      </c>
      <c r="I9" s="555">
        <f>LogisticFit!$X5</f>
      </c>
      <c r="J9" s="554">
        <f>LogisticFit!$AA5</f>
      </c>
      <c r="K9" s="555">
        <f>LogisticFit!$AD5</f>
      </c>
      <c r="L9" s="556">
        <f>LogisticFit!$AG5</f>
      </c>
      <c r="M9" s="554">
        <f>LogisticFit!$AJ5</f>
      </c>
      <c r="N9" s="229"/>
      <c r="O9" s="229"/>
      <c r="P9" s="229"/>
    </row>
    <row r="10" spans="1:16" ht="12.75">
      <c r="A10" s="231">
        <f>ProjPays!H4</f>
        <v>1982</v>
      </c>
      <c r="B10" s="552">
        <f>LogisticFit!C6</f>
      </c>
      <c r="C10" s="553" t="str">
        <f>IF(Installation!$C$19&gt;0,LogisticFit!F6,"NA")</f>
        <v>NA</v>
      </c>
      <c r="D10" s="554">
        <f>LogisticFit!I6</f>
      </c>
      <c r="E10" s="555">
        <f>LogisticFit!$L6</f>
      </c>
      <c r="F10" s="554">
        <f>LogisticFit!$O6</f>
      </c>
      <c r="G10" s="555">
        <f>LogisticFit!$R6</f>
      </c>
      <c r="H10" s="554">
        <f>LogisticFit!$U6</f>
      </c>
      <c r="I10" s="555">
        <f>LogisticFit!$X6</f>
      </c>
      <c r="J10" s="554">
        <f>LogisticFit!$AA6</f>
      </c>
      <c r="K10" s="555">
        <f>LogisticFit!$AD6</f>
      </c>
      <c r="L10" s="556">
        <f>LogisticFit!$AG6</f>
      </c>
      <c r="M10" s="554">
        <f>LogisticFit!$AJ6</f>
      </c>
      <c r="N10" s="229"/>
      <c r="O10" s="229"/>
      <c r="P10" s="229"/>
    </row>
    <row r="11" spans="1:16" ht="12.75">
      <c r="A11" s="231">
        <f>ProjPays!H5</f>
        <v>1983</v>
      </c>
      <c r="B11" s="552">
        <f>LogisticFit!C7</f>
      </c>
      <c r="C11" s="553" t="str">
        <f>IF(Installation!$C$19&gt;0,LogisticFit!F7,"NA")</f>
        <v>NA</v>
      </c>
      <c r="D11" s="554">
        <f>LogisticFit!I7</f>
      </c>
      <c r="E11" s="555">
        <f>LogisticFit!$L7</f>
      </c>
      <c r="F11" s="554">
        <f>LogisticFit!$O7</f>
      </c>
      <c r="G11" s="555">
        <f>LogisticFit!$R7</f>
      </c>
      <c r="H11" s="554">
        <f>LogisticFit!$U7</f>
      </c>
      <c r="I11" s="555">
        <f>LogisticFit!$X7</f>
      </c>
      <c r="J11" s="554">
        <f>LogisticFit!$AA7</f>
      </c>
      <c r="K11" s="555">
        <f>LogisticFit!$AD7</f>
      </c>
      <c r="L11" s="556">
        <f>LogisticFit!$AG7</f>
      </c>
      <c r="M11" s="554">
        <f>LogisticFit!$AJ7</f>
      </c>
      <c r="N11" s="229"/>
      <c r="O11" s="229"/>
      <c r="P11" s="229"/>
    </row>
    <row r="12" spans="1:16" ht="12.75">
      <c r="A12" s="231">
        <f>ProjPays!H6</f>
        <v>1984</v>
      </c>
      <c r="B12" s="552">
        <f>LogisticFit!C8</f>
      </c>
      <c r="C12" s="553" t="str">
        <f>IF(Installation!$C$19&gt;0,LogisticFit!F8,"NA")</f>
        <v>NA</v>
      </c>
      <c r="D12" s="554">
        <f>LogisticFit!I8</f>
      </c>
      <c r="E12" s="555">
        <f>LogisticFit!$L8</f>
      </c>
      <c r="F12" s="554">
        <f>LogisticFit!$O8</f>
      </c>
      <c r="G12" s="555">
        <f>LogisticFit!$R8</f>
      </c>
      <c r="H12" s="554">
        <f>LogisticFit!$U8</f>
      </c>
      <c r="I12" s="555">
        <f>LogisticFit!$X8</f>
      </c>
      <c r="J12" s="554">
        <f>LogisticFit!$AA8</f>
      </c>
      <c r="K12" s="555">
        <f>LogisticFit!$AD8</f>
      </c>
      <c r="L12" s="556">
        <f>LogisticFit!$AG8</f>
      </c>
      <c r="M12" s="554">
        <f>LogisticFit!$AJ8</f>
      </c>
      <c r="N12" s="229"/>
      <c r="O12" s="229"/>
      <c r="P12" s="229"/>
    </row>
    <row r="13" spans="1:16" ht="12.75">
      <c r="A13" s="231">
        <f>ProjPays!H7</f>
        <v>1985</v>
      </c>
      <c r="B13" s="552">
        <f>LogisticFit!C9</f>
      </c>
      <c r="C13" s="553" t="str">
        <f>IF(Installation!$C$19&gt;0,LogisticFit!F9,"NA")</f>
        <v>NA</v>
      </c>
      <c r="D13" s="554">
        <f>LogisticFit!I9</f>
      </c>
      <c r="E13" s="555">
        <f>LogisticFit!$L9</f>
      </c>
      <c r="F13" s="554">
        <f>LogisticFit!$O9</f>
      </c>
      <c r="G13" s="555">
        <f>LogisticFit!$R9</f>
      </c>
      <c r="H13" s="554">
        <f>LogisticFit!$U9</f>
      </c>
      <c r="I13" s="555">
        <f>LogisticFit!$X9</f>
      </c>
      <c r="J13" s="554">
        <f>LogisticFit!$AA9</f>
      </c>
      <c r="K13" s="555">
        <f>LogisticFit!$AD9</f>
      </c>
      <c r="L13" s="556">
        <f>LogisticFit!$AG9</f>
      </c>
      <c r="M13" s="554">
        <f>LogisticFit!$AJ9</f>
      </c>
      <c r="N13" s="229"/>
      <c r="O13" s="229"/>
      <c r="P13" s="229"/>
    </row>
    <row r="14" spans="1:16" ht="12.75">
      <c r="A14" s="231">
        <f>ProjPays!H8</f>
        <v>1986</v>
      </c>
      <c r="B14" s="552">
        <f>LogisticFit!C10</f>
      </c>
      <c r="C14" s="553" t="str">
        <f>IF(Installation!$C$19&gt;0,LogisticFit!F10,"NA")</f>
        <v>NA</v>
      </c>
      <c r="D14" s="554">
        <f>LogisticFit!I10</f>
      </c>
      <c r="E14" s="555">
        <f>LogisticFit!$L10</f>
      </c>
      <c r="F14" s="554">
        <f>LogisticFit!$O10</f>
      </c>
      <c r="G14" s="555">
        <f>LogisticFit!$R10</f>
      </c>
      <c r="H14" s="554">
        <f>LogisticFit!$U10</f>
      </c>
      <c r="I14" s="555">
        <f>LogisticFit!$X10</f>
      </c>
      <c r="J14" s="554">
        <f>LogisticFit!$AA10</f>
      </c>
      <c r="K14" s="555">
        <f>LogisticFit!$AD10</f>
      </c>
      <c r="L14" s="556">
        <f>LogisticFit!$AG10</f>
      </c>
      <c r="M14" s="554">
        <f>LogisticFit!$AJ10</f>
      </c>
      <c r="N14" s="229"/>
      <c r="O14" s="229"/>
      <c r="P14" s="229"/>
    </row>
    <row r="15" spans="1:16" ht="12.75">
      <c r="A15" s="231">
        <f>ProjPays!H9</f>
        <v>1987</v>
      </c>
      <c r="B15" s="552">
        <f>LogisticFit!C11</f>
      </c>
      <c r="C15" s="553" t="str">
        <f>IF(Installation!$C$19&gt;0,LogisticFit!F11,"NA")</f>
        <v>NA</v>
      </c>
      <c r="D15" s="554">
        <f>LogisticFit!I11</f>
      </c>
      <c r="E15" s="555">
        <f>LogisticFit!$L11</f>
      </c>
      <c r="F15" s="554">
        <f>LogisticFit!$O11</f>
      </c>
      <c r="G15" s="555">
        <f>LogisticFit!$R11</f>
      </c>
      <c r="H15" s="554">
        <f>LogisticFit!$U11</f>
      </c>
      <c r="I15" s="555">
        <f>LogisticFit!$X11</f>
      </c>
      <c r="J15" s="554">
        <f>LogisticFit!$AA11</f>
      </c>
      <c r="K15" s="555">
        <f>LogisticFit!$AD11</f>
      </c>
      <c r="L15" s="556">
        <f>LogisticFit!$AG11</f>
      </c>
      <c r="M15" s="554">
        <f>LogisticFit!$AJ11</f>
      </c>
      <c r="N15" s="229"/>
      <c r="O15" s="229"/>
      <c r="P15" s="229"/>
    </row>
    <row r="16" spans="1:16" ht="12.75">
      <c r="A16" s="231">
        <f>ProjPays!H10</f>
        <v>1988</v>
      </c>
      <c r="B16" s="552">
        <f>LogisticFit!C12</f>
      </c>
      <c r="C16" s="553" t="str">
        <f>IF(Installation!$C$19&gt;0,LogisticFit!F12,"NA")</f>
        <v>NA</v>
      </c>
      <c r="D16" s="554">
        <f>LogisticFit!I12</f>
      </c>
      <c r="E16" s="555">
        <f>LogisticFit!$L12</f>
      </c>
      <c r="F16" s="554">
        <f>LogisticFit!$O12</f>
      </c>
      <c r="G16" s="555">
        <f>LogisticFit!$R12</f>
      </c>
      <c r="H16" s="554">
        <f>LogisticFit!$U12</f>
      </c>
      <c r="I16" s="555">
        <f>LogisticFit!$X12</f>
      </c>
      <c r="J16" s="554">
        <f>LogisticFit!$AA12</f>
      </c>
      <c r="K16" s="555">
        <f>LogisticFit!$AD12</f>
      </c>
      <c r="L16" s="556">
        <f>LogisticFit!$AG12</f>
      </c>
      <c r="M16" s="554">
        <f>LogisticFit!$AJ12</f>
      </c>
      <c r="N16" s="229"/>
      <c r="O16" s="229"/>
      <c r="P16" s="229"/>
    </row>
    <row r="17" spans="1:20" ht="12.75">
      <c r="A17" s="231">
        <f>ProjPays!H11</f>
        <v>1989</v>
      </c>
      <c r="B17" s="552">
        <f>LogisticFit!C13</f>
      </c>
      <c r="C17" s="553" t="str">
        <f>IF(Installation!$C$19&gt;0,LogisticFit!F13,"NA")</f>
        <v>NA</v>
      </c>
      <c r="D17" s="554">
        <f>LogisticFit!I13</f>
      </c>
      <c r="E17" s="555">
        <f>LogisticFit!$L13</f>
      </c>
      <c r="F17" s="554">
        <f>LogisticFit!$O13</f>
      </c>
      <c r="G17" s="555">
        <f>LogisticFit!$R13</f>
      </c>
      <c r="H17" s="554">
        <f>LogisticFit!$U13</f>
      </c>
      <c r="I17" s="555">
        <f>LogisticFit!$X13</f>
      </c>
      <c r="J17" s="554">
        <f>LogisticFit!$AA13</f>
      </c>
      <c r="K17" s="555">
        <f>LogisticFit!$AD13</f>
      </c>
      <c r="L17" s="556">
        <f>LogisticFit!$AG13</f>
      </c>
      <c r="M17" s="554">
        <f>LogisticFit!$AJ13</f>
      </c>
      <c r="N17" s="229"/>
      <c r="O17" s="229"/>
      <c r="P17" s="229"/>
      <c r="R17" s="371"/>
      <c r="S17" s="371"/>
      <c r="T17" s="371"/>
    </row>
    <row r="18" spans="1:20" ht="12.75">
      <c r="A18" s="231">
        <f>ProjPays!H12</f>
        <v>1990</v>
      </c>
      <c r="B18" s="552">
        <f>LogisticFit!C14</f>
      </c>
      <c r="C18" s="553" t="str">
        <f>IF(Installation!$C$19&gt;0,LogisticFit!F14,"NA")</f>
        <v>NA</v>
      </c>
      <c r="D18" s="554">
        <f>LogisticFit!I14</f>
      </c>
      <c r="E18" s="555">
        <f>LogisticFit!$L14</f>
      </c>
      <c r="F18" s="554">
        <f>LogisticFit!$O14</f>
      </c>
      <c r="G18" s="555">
        <f>LogisticFit!$R14</f>
      </c>
      <c r="H18" s="554">
        <f>LogisticFit!$U14</f>
      </c>
      <c r="I18" s="555">
        <f>LogisticFit!$X14</f>
      </c>
      <c r="J18" s="554">
        <f>LogisticFit!$AA14</f>
      </c>
      <c r="K18" s="555">
        <f>LogisticFit!$AD14</f>
      </c>
      <c r="L18" s="556">
        <f>LogisticFit!$AG14</f>
      </c>
      <c r="M18" s="554">
        <f>LogisticFit!$AJ14</f>
      </c>
      <c r="N18" s="229"/>
      <c r="O18" s="229"/>
      <c r="P18" s="229"/>
      <c r="R18" s="371"/>
      <c r="S18" s="371"/>
      <c r="T18" s="371"/>
    </row>
    <row r="19" spans="1:20" ht="12.75">
      <c r="A19" s="231">
        <f>ProjPays!H13</f>
        <v>1991</v>
      </c>
      <c r="B19" s="552">
        <f>LogisticFit!C15</f>
      </c>
      <c r="C19" s="553" t="str">
        <f>IF(Installation!$C$19&gt;0,LogisticFit!F15,"NA")</f>
        <v>NA</v>
      </c>
      <c r="D19" s="554">
        <f>LogisticFit!I15</f>
      </c>
      <c r="E19" s="555">
        <f>LogisticFit!$L15</f>
      </c>
      <c r="F19" s="554">
        <f>LogisticFit!$O15</f>
      </c>
      <c r="G19" s="555">
        <f>LogisticFit!$R15</f>
      </c>
      <c r="H19" s="554">
        <f>LogisticFit!$U15</f>
      </c>
      <c r="I19" s="555">
        <f>LogisticFit!$X15</f>
      </c>
      <c r="J19" s="554">
        <f>LogisticFit!$AA15</f>
      </c>
      <c r="K19" s="555">
        <f>LogisticFit!$AD15</f>
      </c>
      <c r="L19" s="556">
        <f>LogisticFit!$AG15</f>
      </c>
      <c r="M19" s="554">
        <f>LogisticFit!$AJ15</f>
      </c>
      <c r="N19" s="229"/>
      <c r="O19" s="229"/>
      <c r="P19" s="229"/>
      <c r="R19" s="371"/>
      <c r="S19" s="371"/>
      <c r="T19" s="371"/>
    </row>
    <row r="20" spans="1:20" ht="12.75">
      <c r="A20" s="231">
        <f>ProjPays!H14</f>
        <v>1992</v>
      </c>
      <c r="B20" s="552">
        <f>LogisticFit!C16</f>
      </c>
      <c r="C20" s="553" t="str">
        <f>IF(Installation!$C$19&gt;0,LogisticFit!F16,"NA")</f>
        <v>NA</v>
      </c>
      <c r="D20" s="554">
        <f>LogisticFit!I16</f>
      </c>
      <c r="E20" s="555">
        <f>LogisticFit!$L16</f>
      </c>
      <c r="F20" s="554">
        <f>LogisticFit!$O16</f>
      </c>
      <c r="G20" s="555">
        <f>LogisticFit!$R16</f>
      </c>
      <c r="H20" s="554">
        <f>LogisticFit!$U16</f>
      </c>
      <c r="I20" s="555">
        <f>LogisticFit!$X16</f>
      </c>
      <c r="J20" s="554">
        <f>LogisticFit!$AA16</f>
      </c>
      <c r="K20" s="555">
        <f>LogisticFit!$AD16</f>
      </c>
      <c r="L20" s="556">
        <f>LogisticFit!$AG16</f>
      </c>
      <c r="M20" s="554">
        <f>LogisticFit!$AJ16</f>
      </c>
      <c r="N20" s="229"/>
      <c r="O20" s="229"/>
      <c r="P20" s="229"/>
      <c r="R20" s="371"/>
      <c r="S20" s="371"/>
      <c r="T20" s="371"/>
    </row>
    <row r="21" spans="1:20" ht="12.75">
      <c r="A21" s="231">
        <f>ProjPays!H15</f>
        <v>1993</v>
      </c>
      <c r="B21" s="552">
        <f>LogisticFit!C17</f>
      </c>
      <c r="C21" s="553" t="str">
        <f>IF(Installation!$C$19&gt;0,LogisticFit!F17,"NA")</f>
        <v>NA</v>
      </c>
      <c r="D21" s="554">
        <f>LogisticFit!I17</f>
      </c>
      <c r="E21" s="555">
        <f>LogisticFit!$L17</f>
      </c>
      <c r="F21" s="554">
        <f>LogisticFit!$O17</f>
      </c>
      <c r="G21" s="555">
        <f>LogisticFit!$R17</f>
      </c>
      <c r="H21" s="554">
        <f>LogisticFit!$U17</f>
      </c>
      <c r="I21" s="555">
        <f>LogisticFit!$X17</f>
      </c>
      <c r="J21" s="554">
        <f>LogisticFit!$AA17</f>
      </c>
      <c r="K21" s="555">
        <f>LogisticFit!$AD17</f>
      </c>
      <c r="L21" s="556">
        <f>LogisticFit!$AG17</f>
      </c>
      <c r="M21" s="554">
        <f>LogisticFit!$AJ17</f>
      </c>
      <c r="N21" s="229"/>
      <c r="O21" s="229"/>
      <c r="P21" s="229"/>
      <c r="R21" s="371"/>
      <c r="S21" s="371"/>
      <c r="T21" s="371"/>
    </row>
    <row r="22" spans="1:16" ht="12.75">
      <c r="A22" s="231">
        <f>ProjPays!H16</f>
        <v>1994</v>
      </c>
      <c r="B22" s="552">
        <f>LogisticFit!C18</f>
      </c>
      <c r="C22" s="553" t="str">
        <f>IF(Installation!$C$19&gt;0,LogisticFit!F18,"NA")</f>
        <v>NA</v>
      </c>
      <c r="D22" s="554">
        <f>LogisticFit!I18</f>
      </c>
      <c r="E22" s="555">
        <f>LogisticFit!$L18</f>
      </c>
      <c r="F22" s="554">
        <f>LogisticFit!$O18</f>
      </c>
      <c r="G22" s="555">
        <f>LogisticFit!$R18</f>
      </c>
      <c r="H22" s="554">
        <f>LogisticFit!$U18</f>
      </c>
      <c r="I22" s="555">
        <f>LogisticFit!$X18</f>
      </c>
      <c r="J22" s="554">
        <f>LogisticFit!$AA18</f>
      </c>
      <c r="K22" s="555">
        <f>LogisticFit!$AD18</f>
      </c>
      <c r="L22" s="556">
        <f>LogisticFit!$AG18</f>
      </c>
      <c r="M22" s="554">
        <f>LogisticFit!$AJ18</f>
      </c>
      <c r="N22" s="229"/>
      <c r="O22" s="229"/>
      <c r="P22" s="229"/>
    </row>
    <row r="23" spans="1:16" ht="12.75">
      <c r="A23" s="231">
        <f>ProjPays!H17</f>
        <v>1995</v>
      </c>
      <c r="B23" s="552">
        <f>LogisticFit!C19</f>
      </c>
      <c r="C23" s="553" t="str">
        <f>IF(Installation!$C$19&gt;0,LogisticFit!F19,"NA")</f>
        <v>NA</v>
      </c>
      <c r="D23" s="554">
        <f>LogisticFit!I19</f>
      </c>
      <c r="E23" s="555">
        <f>LogisticFit!$L19</f>
      </c>
      <c r="F23" s="554">
        <f>LogisticFit!$O19</f>
      </c>
      <c r="G23" s="555">
        <f>LogisticFit!$R19</f>
      </c>
      <c r="H23" s="554">
        <f>LogisticFit!$U19</f>
      </c>
      <c r="I23" s="555">
        <f>LogisticFit!$X19</f>
      </c>
      <c r="J23" s="554">
        <f>LogisticFit!$AA19</f>
      </c>
      <c r="K23" s="555">
        <f>LogisticFit!$AD19</f>
      </c>
      <c r="L23" s="556">
        <f>LogisticFit!$AG19</f>
      </c>
      <c r="M23" s="554">
        <f>LogisticFit!$AJ19</f>
      </c>
      <c r="N23" s="229"/>
      <c r="O23" s="229"/>
      <c r="P23" s="229"/>
    </row>
    <row r="24" spans="1:16" ht="12.75">
      <c r="A24" s="231">
        <f>ProjPays!H18</f>
        <v>1996</v>
      </c>
      <c r="B24" s="552">
        <f>LogisticFit!C20</f>
      </c>
      <c r="C24" s="553" t="str">
        <f>IF(Installation!$C$19&gt;0,LogisticFit!F20,"NA")</f>
        <v>NA</v>
      </c>
      <c r="D24" s="554">
        <f>LogisticFit!I20</f>
      </c>
      <c r="E24" s="555">
        <f>LogisticFit!$L20</f>
      </c>
      <c r="F24" s="554">
        <f>LogisticFit!$O20</f>
      </c>
      <c r="G24" s="555">
        <f>LogisticFit!$R20</f>
      </c>
      <c r="H24" s="554">
        <f>LogisticFit!$U20</f>
      </c>
      <c r="I24" s="555">
        <f>LogisticFit!$X20</f>
      </c>
      <c r="J24" s="554">
        <f>LogisticFit!$AA20</f>
      </c>
      <c r="K24" s="555">
        <f>LogisticFit!$AD20</f>
      </c>
      <c r="L24" s="556">
        <f>LogisticFit!$AG20</f>
      </c>
      <c r="M24" s="554">
        <f>LogisticFit!$AJ20</f>
      </c>
      <c r="N24" s="229"/>
      <c r="O24" s="229"/>
      <c r="P24" s="229"/>
    </row>
    <row r="25" spans="1:16" ht="12.75">
      <c r="A25" s="231">
        <f>ProjPays!H19</f>
        <v>1997</v>
      </c>
      <c r="B25" s="552">
        <f>LogisticFit!C21</f>
      </c>
      <c r="C25" s="553" t="str">
        <f>IF(Installation!$C$19&gt;0,LogisticFit!F21,"NA")</f>
        <v>NA</v>
      </c>
      <c r="D25" s="554">
        <f>LogisticFit!I21</f>
      </c>
      <c r="E25" s="555">
        <f>LogisticFit!$L21</f>
      </c>
      <c r="F25" s="554">
        <f>LogisticFit!$O21</f>
      </c>
      <c r="G25" s="555">
        <f>LogisticFit!$R21</f>
      </c>
      <c r="H25" s="554">
        <f>LogisticFit!$U21</f>
      </c>
      <c r="I25" s="555">
        <f>LogisticFit!$X21</f>
      </c>
      <c r="J25" s="554">
        <f>LogisticFit!$AA21</f>
      </c>
      <c r="K25" s="555">
        <f>LogisticFit!$AD21</f>
      </c>
      <c r="L25" s="556">
        <f>LogisticFit!$AG21</f>
      </c>
      <c r="M25" s="554">
        <f>LogisticFit!$AJ21</f>
      </c>
      <c r="N25" s="229"/>
      <c r="O25" s="229"/>
      <c r="P25" s="229"/>
    </row>
    <row r="26" spans="1:16" ht="12.75">
      <c r="A26" s="231">
        <f>ProjPays!H20</f>
        <v>1998</v>
      </c>
      <c r="B26" s="552">
        <f>LogisticFit!C22</f>
      </c>
      <c r="C26" s="553" t="str">
        <f>IF(Installation!$C$19&gt;0,LogisticFit!F22,"NA")</f>
        <v>NA</v>
      </c>
      <c r="D26" s="554">
        <f>LogisticFit!I22</f>
      </c>
      <c r="E26" s="555">
        <f>LogisticFit!$L22</f>
      </c>
      <c r="F26" s="554">
        <f>LogisticFit!$O22</f>
      </c>
      <c r="G26" s="555">
        <f>LogisticFit!$R22</f>
      </c>
      <c r="H26" s="554">
        <f>LogisticFit!$U22</f>
      </c>
      <c r="I26" s="555">
        <f>LogisticFit!$X22</f>
      </c>
      <c r="J26" s="554">
        <f>LogisticFit!$AA22</f>
      </c>
      <c r="K26" s="555">
        <f>LogisticFit!$AD22</f>
      </c>
      <c r="L26" s="556">
        <f>LogisticFit!$AG22</f>
      </c>
      <c r="M26" s="554">
        <f>LogisticFit!$AJ22</f>
      </c>
      <c r="N26" s="229"/>
      <c r="O26" s="229"/>
      <c r="P26" s="229"/>
    </row>
    <row r="27" spans="1:16" ht="12.75">
      <c r="A27" s="231">
        <f>ProjPays!H21</f>
        <v>1999</v>
      </c>
      <c r="B27" s="552">
        <f>LogisticFit!C23</f>
      </c>
      <c r="C27" s="553" t="str">
        <f>IF(Installation!$C$19&gt;0,LogisticFit!F23,"NA")</f>
        <v>NA</v>
      </c>
      <c r="D27" s="554">
        <f>LogisticFit!I23</f>
      </c>
      <c r="E27" s="555">
        <f>LogisticFit!$L23</f>
      </c>
      <c r="F27" s="554">
        <f>LogisticFit!$O23</f>
      </c>
      <c r="G27" s="555">
        <f>LogisticFit!$R23</f>
      </c>
      <c r="H27" s="554">
        <f>LogisticFit!$U23</f>
      </c>
      <c r="I27" s="555">
        <f>LogisticFit!$X23</f>
      </c>
      <c r="J27" s="554">
        <f>LogisticFit!$AA23</f>
      </c>
      <c r="K27" s="555">
        <f>LogisticFit!$AD23</f>
      </c>
      <c r="L27" s="556">
        <f>LogisticFit!$AG23</f>
      </c>
      <c r="M27" s="554">
        <f>LogisticFit!$AJ23</f>
      </c>
      <c r="N27" s="229"/>
      <c r="O27" s="229"/>
      <c r="P27" s="229"/>
    </row>
    <row r="28" spans="1:16" ht="12.75">
      <c r="A28" s="231">
        <f>ProjPays!H22</f>
        <v>2000</v>
      </c>
      <c r="B28" s="552">
        <f>LogisticFit!C24</f>
      </c>
      <c r="C28" s="553" t="str">
        <f>IF(Installation!$C$19&gt;0,LogisticFit!F24,"NA")</f>
        <v>NA</v>
      </c>
      <c r="D28" s="554">
        <f>LogisticFit!I24</f>
      </c>
      <c r="E28" s="555">
        <f>LogisticFit!$L24</f>
      </c>
      <c r="F28" s="554">
        <f>LogisticFit!$O24</f>
      </c>
      <c r="G28" s="555">
        <f>LogisticFit!$R24</f>
      </c>
      <c r="H28" s="554">
        <f>LogisticFit!$U24</f>
      </c>
      <c r="I28" s="555">
        <f>LogisticFit!$X24</f>
      </c>
      <c r="J28" s="554">
        <f>LogisticFit!$AA24</f>
      </c>
      <c r="K28" s="555">
        <f>LogisticFit!$AD24</f>
      </c>
      <c r="L28" s="556">
        <f>LogisticFit!$AG24</f>
      </c>
      <c r="M28" s="554">
        <f>LogisticFit!$AJ24</f>
      </c>
      <c r="N28" s="229"/>
      <c r="O28" s="229"/>
      <c r="P28" s="229"/>
    </row>
    <row r="29" spans="1:16" ht="12.75">
      <c r="A29" s="231">
        <f>ProjPays!H23</f>
        <v>2001</v>
      </c>
      <c r="B29" s="552">
        <f>LogisticFit!C25</f>
      </c>
      <c r="C29" s="553" t="str">
        <f>IF(Installation!$C$19&gt;0,LogisticFit!F25,"NA")</f>
        <v>NA</v>
      </c>
      <c r="D29" s="554">
        <f>LogisticFit!I25</f>
      </c>
      <c r="E29" s="555">
        <f>LogisticFit!$L25</f>
      </c>
      <c r="F29" s="554">
        <f>LogisticFit!$O25</f>
      </c>
      <c r="G29" s="555">
        <f>LogisticFit!$R25</f>
      </c>
      <c r="H29" s="554">
        <f>LogisticFit!$U25</f>
      </c>
      <c r="I29" s="555">
        <f>LogisticFit!$X25</f>
      </c>
      <c r="J29" s="554">
        <f>LogisticFit!$AA25</f>
      </c>
      <c r="K29" s="555">
        <f>LogisticFit!$AD25</f>
      </c>
      <c r="L29" s="556">
        <f>LogisticFit!$AG25</f>
      </c>
      <c r="M29" s="554">
        <f>LogisticFit!$AJ25</f>
      </c>
      <c r="N29" s="229"/>
      <c r="O29" s="229"/>
      <c r="P29" s="229"/>
    </row>
    <row r="30" spans="1:16" ht="12.75">
      <c r="A30" s="231">
        <f>ProjPays!H24</f>
        <v>2002</v>
      </c>
      <c r="B30" s="552">
        <f>LogisticFit!C26</f>
      </c>
      <c r="C30" s="553" t="str">
        <f>IF(Installation!$C$19&gt;0,LogisticFit!F26,"NA")</f>
        <v>NA</v>
      </c>
      <c r="D30" s="554">
        <f>LogisticFit!I26</f>
      </c>
      <c r="E30" s="555">
        <f>LogisticFit!$L26</f>
      </c>
      <c r="F30" s="554">
        <f>LogisticFit!$O26</f>
      </c>
      <c r="G30" s="555">
        <f>LogisticFit!$R26</f>
      </c>
      <c r="H30" s="554">
        <f>LogisticFit!$U26</f>
      </c>
      <c r="I30" s="555">
        <f>LogisticFit!$X26</f>
      </c>
      <c r="J30" s="554">
        <f>LogisticFit!$AA26</f>
      </c>
      <c r="K30" s="555">
        <f>LogisticFit!$AD26</f>
      </c>
      <c r="L30" s="556">
        <f>LogisticFit!$AG26</f>
      </c>
      <c r="M30" s="554">
        <f>LogisticFit!$AJ26</f>
      </c>
      <c r="N30" s="229"/>
      <c r="O30" s="229"/>
      <c r="P30" s="229"/>
    </row>
    <row r="31" spans="1:16" ht="12.75">
      <c r="A31" s="231">
        <f>ProjPays!H25</f>
        <v>2003</v>
      </c>
      <c r="B31" s="552">
        <f>LogisticFit!C27</f>
      </c>
      <c r="C31" s="553" t="str">
        <f>IF(Installation!$C$19&gt;0,LogisticFit!F27,"NA")</f>
        <v>NA</v>
      </c>
      <c r="D31" s="554">
        <f>LogisticFit!I27</f>
      </c>
      <c r="E31" s="555">
        <f>LogisticFit!$L27</f>
      </c>
      <c r="F31" s="554">
        <f>LogisticFit!$O27</f>
      </c>
      <c r="G31" s="555">
        <f>LogisticFit!$R27</f>
      </c>
      <c r="H31" s="554">
        <f>LogisticFit!$U27</f>
      </c>
      <c r="I31" s="555">
        <f>LogisticFit!$X27</f>
      </c>
      <c r="J31" s="554">
        <f>LogisticFit!$AA27</f>
      </c>
      <c r="K31" s="555">
        <f>LogisticFit!$AD27</f>
      </c>
      <c r="L31" s="556">
        <f>LogisticFit!$AG27</f>
      </c>
      <c r="M31" s="554">
        <f>LogisticFit!$AJ27</f>
      </c>
      <c r="N31" s="229"/>
      <c r="O31" s="229"/>
      <c r="P31" s="229"/>
    </row>
    <row r="32" spans="1:17" ht="12.75">
      <c r="A32" s="231">
        <f>ProjPays!H26</f>
        <v>2004</v>
      </c>
      <c r="B32" s="552">
        <f>LogisticFit!C28</f>
      </c>
      <c r="C32" s="553" t="str">
        <f>IF(Installation!$C$19&gt;0,LogisticFit!F28,"NA")</f>
        <v>NA</v>
      </c>
      <c r="D32" s="554">
        <f>LogisticFit!I28</f>
      </c>
      <c r="E32" s="555">
        <f>LogisticFit!$L28</f>
      </c>
      <c r="F32" s="554">
        <f>LogisticFit!$O28</f>
      </c>
      <c r="G32" s="555">
        <f>LogisticFit!$R28</f>
      </c>
      <c r="H32" s="554">
        <f>LogisticFit!$U28</f>
      </c>
      <c r="I32" s="555">
        <f>LogisticFit!$X28</f>
      </c>
      <c r="J32" s="554">
        <f>LogisticFit!$AA28</f>
      </c>
      <c r="K32" s="555">
        <f>LogisticFit!$AD28</f>
      </c>
      <c r="L32" s="556">
        <f>LogisticFit!$AG28</f>
      </c>
      <c r="M32" s="554">
        <f>LogisticFit!$AJ28</f>
      </c>
      <c r="N32" s="229"/>
      <c r="O32" s="229"/>
      <c r="P32" s="229"/>
      <c r="Q32" s="227"/>
    </row>
    <row r="33" spans="1:17" ht="12.75">
      <c r="A33" s="370">
        <f>ProjPays!H27</f>
        <v>2005</v>
      </c>
      <c r="B33" s="557">
        <f>LogisticFit!C29</f>
      </c>
      <c r="C33" s="558" t="str">
        <f>IF(Installation!$C$19&gt;0,LogisticFit!F29,"NA")</f>
        <v>NA</v>
      </c>
      <c r="D33" s="559">
        <f>LogisticFit!I29</f>
      </c>
      <c r="E33" s="560">
        <f>LogisticFit!$L29</f>
      </c>
      <c r="F33" s="559">
        <f>LogisticFit!$O29</f>
      </c>
      <c r="G33" s="560">
        <f>LogisticFit!$R29</f>
      </c>
      <c r="H33" s="559">
        <f>LogisticFit!$U29</f>
      </c>
      <c r="I33" s="560">
        <f>LogisticFit!$X29</f>
      </c>
      <c r="J33" s="559">
        <f>LogisticFit!$AA29</f>
      </c>
      <c r="K33" s="560">
        <f>LogisticFit!$AD29</f>
      </c>
      <c r="L33" s="561">
        <f>LogisticFit!$AG29</f>
      </c>
      <c r="M33" s="559">
        <f>LogisticFit!$AJ29</f>
      </c>
      <c r="N33" s="229"/>
      <c r="O33" s="229"/>
      <c r="P33" s="229"/>
      <c r="Q33" s="222"/>
    </row>
    <row r="34" spans="1:4" ht="12.75">
      <c r="A34" s="221"/>
      <c r="B34" s="223"/>
      <c r="C34" s="369"/>
      <c r="D34" s="229"/>
    </row>
    <row r="35" spans="1:4" ht="12.75">
      <c r="A35" s="221"/>
      <c r="B35" s="223"/>
      <c r="C35" s="369"/>
      <c r="D35" s="229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Header>&amp;L&amp;F
&amp;D  &amp;T&amp;C&amp;A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32"/>
  <sheetViews>
    <sheetView workbookViewId="0" topLeftCell="A1">
      <selection activeCell="B4" sqref="B4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7109375" style="207" customWidth="1"/>
    <col min="4" max="4" width="11.00390625" style="207" customWidth="1"/>
    <col min="5" max="5" width="12.421875" style="207" customWidth="1"/>
    <col min="6" max="6" width="13.7109375" style="207" customWidth="1"/>
    <col min="7" max="7" width="8.421875" style="207" customWidth="1"/>
    <col min="8" max="8" width="9.140625" style="162" customWidth="1"/>
    <col min="9" max="9" width="13.7109375" style="162" customWidth="1"/>
    <col min="10" max="10" width="2.57421875" style="162" hidden="1" customWidth="1"/>
    <col min="11" max="11" width="14.57421875" style="162" customWidth="1"/>
    <col min="12" max="12" width="9.57421875" style="162" customWidth="1"/>
    <col min="13" max="13" width="6.7109375" style="162" customWidth="1"/>
    <col min="14" max="16384" width="9.140625" style="162" customWidth="1"/>
  </cols>
  <sheetData>
    <row r="1" spans="1:11" s="215" customFormat="1" ht="14.25" thickBot="1">
      <c r="A1" s="216" t="s">
        <v>89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79</v>
      </c>
      <c r="I1" s="355" t="s">
        <v>80</v>
      </c>
      <c r="K1" s="492" t="s">
        <v>70</v>
      </c>
    </row>
    <row r="2" spans="1:11" ht="14.25" thickBot="1">
      <c r="A2" s="218" t="s">
        <v>36</v>
      </c>
      <c r="B2" s="217">
        <f>IF('R6'!$B$2&gt;0,'R6'!$B$1,"")</f>
      </c>
      <c r="E2" s="326" t="s">
        <v>63</v>
      </c>
      <c r="F2" s="327">
        <v>1990</v>
      </c>
      <c r="H2" s="310">
        <v>1980</v>
      </c>
      <c r="I2" s="565"/>
      <c r="J2" s="406">
        <f>LogisticFit!X4</f>
      </c>
      <c r="K2" s="568"/>
    </row>
    <row r="3" spans="1:11" s="210" customFormat="1" ht="13.5">
      <c r="A3" s="218" t="s">
        <v>73</v>
      </c>
      <c r="B3" s="291" t="s">
        <v>45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78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SUM(LogisticFit!Y4:Y29)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67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sheetProtection/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2"/>
  <sheetViews>
    <sheetView workbookViewId="0" topLeftCell="A1">
      <selection activeCell="B4" sqref="B4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7109375" style="207" customWidth="1"/>
    <col min="4" max="4" width="11.00390625" style="207" customWidth="1"/>
    <col min="5" max="5" width="12.421875" style="207" customWidth="1"/>
    <col min="6" max="6" width="13.7109375" style="207" customWidth="1"/>
    <col min="7" max="7" width="8.421875" style="207" customWidth="1"/>
    <col min="8" max="8" width="9.140625" style="162" customWidth="1"/>
    <col min="9" max="9" width="13.7109375" style="162" customWidth="1"/>
    <col min="10" max="10" width="1.8515625" style="162" hidden="1" customWidth="1"/>
    <col min="11" max="11" width="17.00390625" style="162" customWidth="1"/>
    <col min="12" max="13" width="7.140625" style="162" customWidth="1"/>
    <col min="14" max="16384" width="9.140625" style="162" customWidth="1"/>
  </cols>
  <sheetData>
    <row r="1" spans="1:13" s="215" customFormat="1" ht="14.25" thickBot="1">
      <c r="A1" s="216" t="s">
        <v>89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79</v>
      </c>
      <c r="I1" s="355" t="s">
        <v>80</v>
      </c>
      <c r="K1" s="492" t="s">
        <v>70</v>
      </c>
      <c r="M1" s="382"/>
    </row>
    <row r="2" spans="1:11" ht="14.25" thickBot="1">
      <c r="A2" s="218" t="s">
        <v>36</v>
      </c>
      <c r="B2" s="217">
        <f>IF('R7'!$B$2&gt;0,'R7'!$B$1,"")</f>
      </c>
      <c r="E2" s="326" t="s">
        <v>63</v>
      </c>
      <c r="F2" s="327">
        <v>1990</v>
      </c>
      <c r="H2" s="310">
        <v>1980</v>
      </c>
      <c r="I2" s="565"/>
      <c r="J2" s="406">
        <f>LogisticFit!AA4</f>
      </c>
      <c r="K2" s="568"/>
    </row>
    <row r="3" spans="1:11" s="210" customFormat="1" ht="13.5">
      <c r="A3" s="218" t="s">
        <v>73</v>
      </c>
      <c r="B3" s="291" t="s">
        <v>46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78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SUM(LogisticFit!AB4:AB29)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67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32"/>
  <sheetViews>
    <sheetView workbookViewId="0" topLeftCell="A1">
      <selection activeCell="B4" sqref="B4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7109375" style="207" customWidth="1"/>
    <col min="4" max="4" width="11.00390625" style="207" customWidth="1"/>
    <col min="5" max="5" width="12.421875" style="207" customWidth="1"/>
    <col min="6" max="6" width="13.7109375" style="207" customWidth="1"/>
    <col min="7" max="7" width="8.421875" style="207" customWidth="1"/>
    <col min="8" max="8" width="9.140625" style="162" customWidth="1"/>
    <col min="9" max="9" width="15.28125" style="162" customWidth="1"/>
    <col min="10" max="10" width="2.57421875" style="162" hidden="1" customWidth="1"/>
    <col min="11" max="11" width="17.140625" style="162" customWidth="1"/>
    <col min="12" max="13" width="8.7109375" style="162" customWidth="1"/>
    <col min="14" max="16384" width="9.140625" style="162" customWidth="1"/>
  </cols>
  <sheetData>
    <row r="1" spans="1:11" s="215" customFormat="1" ht="14.25" thickBot="1">
      <c r="A1" s="216" t="s">
        <v>89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79</v>
      </c>
      <c r="I1" s="355" t="s">
        <v>80</v>
      </c>
      <c r="K1" s="492" t="s">
        <v>70</v>
      </c>
    </row>
    <row r="2" spans="1:11" ht="14.25" thickBot="1">
      <c r="A2" s="218" t="s">
        <v>36</v>
      </c>
      <c r="B2" s="217">
        <f>IF('R8'!$B$2&gt;0,'R8'!$B$1,"")</f>
      </c>
      <c r="E2" s="326" t="s">
        <v>63</v>
      </c>
      <c r="F2" s="327">
        <v>1990</v>
      </c>
      <c r="H2" s="310">
        <v>1980</v>
      </c>
      <c r="I2" s="565"/>
      <c r="J2" s="406">
        <f>LogisticFit!AD4</f>
      </c>
      <c r="K2" s="568"/>
    </row>
    <row r="3" spans="1:11" s="210" customFormat="1" ht="13.5">
      <c r="A3" s="218" t="s">
        <v>73</v>
      </c>
      <c r="B3" s="291" t="s">
        <v>47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78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SUM(LogisticFit!AE4:AE29)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67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32"/>
  <sheetViews>
    <sheetView workbookViewId="0" topLeftCell="A1">
      <selection activeCell="B4" sqref="B4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7109375" style="207" customWidth="1"/>
    <col min="4" max="4" width="11.00390625" style="207" customWidth="1"/>
    <col min="5" max="5" width="12.421875" style="207" customWidth="1"/>
    <col min="6" max="6" width="13.7109375" style="207" customWidth="1"/>
    <col min="7" max="7" width="8.421875" style="207" customWidth="1"/>
    <col min="8" max="8" width="9.140625" style="162" customWidth="1"/>
    <col min="9" max="9" width="12.8515625" style="162" customWidth="1"/>
    <col min="10" max="10" width="0.13671875" style="162" hidden="1" customWidth="1"/>
    <col min="11" max="11" width="18.140625" style="162" customWidth="1"/>
    <col min="12" max="13" width="8.7109375" style="162" customWidth="1"/>
    <col min="14" max="16384" width="9.140625" style="162" customWidth="1"/>
  </cols>
  <sheetData>
    <row r="1" spans="1:11" s="215" customFormat="1" ht="14.25" thickBot="1">
      <c r="A1" s="216" t="s">
        <v>89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79</v>
      </c>
      <c r="I1" s="355" t="s">
        <v>80</v>
      </c>
      <c r="K1" s="492" t="s">
        <v>70</v>
      </c>
    </row>
    <row r="2" spans="1:11" ht="14.25" thickBot="1">
      <c r="A2" s="218" t="s">
        <v>36</v>
      </c>
      <c r="B2" s="217">
        <f>IF('R9'!$B$2&gt;0,'R9'!$B$1,"")</f>
      </c>
      <c r="E2" s="326" t="s">
        <v>63</v>
      </c>
      <c r="F2" s="327">
        <v>1990</v>
      </c>
      <c r="H2" s="310">
        <v>1980</v>
      </c>
      <c r="I2" s="565"/>
      <c r="J2" s="406">
        <f>LogisticFit!AG4</f>
      </c>
      <c r="K2" s="568"/>
    </row>
    <row r="3" spans="1:11" s="210" customFormat="1" ht="13.5">
      <c r="A3" s="218" t="s">
        <v>73</v>
      </c>
      <c r="B3" s="291" t="s">
        <v>48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78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SUM(LogisticFit!AH4:AH29)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67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32"/>
  <sheetViews>
    <sheetView workbookViewId="0" topLeftCell="A1">
      <selection activeCell="J2" sqref="J2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7109375" style="207" customWidth="1"/>
    <col min="4" max="4" width="11.00390625" style="207" customWidth="1"/>
    <col min="5" max="5" width="12.421875" style="207" customWidth="1"/>
    <col min="6" max="6" width="13.7109375" style="207" customWidth="1"/>
    <col min="7" max="7" width="8.421875" style="207" customWidth="1"/>
    <col min="8" max="8" width="9.140625" style="162" customWidth="1"/>
    <col min="9" max="9" width="13.140625" style="162" customWidth="1"/>
    <col min="10" max="10" width="2.7109375" style="162" hidden="1" customWidth="1"/>
    <col min="11" max="11" width="19.00390625" style="162" customWidth="1"/>
    <col min="12" max="13" width="8.7109375" style="162" customWidth="1"/>
    <col min="14" max="16384" width="9.140625" style="162" customWidth="1"/>
  </cols>
  <sheetData>
    <row r="1" spans="1:11" s="215" customFormat="1" ht="14.25" thickBot="1">
      <c r="A1" s="216" t="s">
        <v>89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79</v>
      </c>
      <c r="I1" s="355" t="s">
        <v>80</v>
      </c>
      <c r="K1" s="492" t="s">
        <v>70</v>
      </c>
    </row>
    <row r="2" spans="1:11" ht="14.25" thickBot="1">
      <c r="A2" s="218" t="s">
        <v>36</v>
      </c>
      <c r="B2" s="217">
        <f>IF('R10'!$B$2&gt;0,'R10'!$B$1,"")</f>
      </c>
      <c r="E2" s="326" t="s">
        <v>63</v>
      </c>
      <c r="F2" s="327">
        <v>1990</v>
      </c>
      <c r="H2" s="310">
        <v>1980</v>
      </c>
      <c r="I2" s="565"/>
      <c r="J2" s="406">
        <f>LogisticFit!AJ4</f>
      </c>
      <c r="K2" s="568"/>
    </row>
    <row r="3" spans="1:11" s="210" customFormat="1" ht="13.5">
      <c r="A3" s="218" t="s">
        <v>73</v>
      </c>
      <c r="B3" s="291" t="s">
        <v>49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78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SUM(LogisticFit!AK4:AK29)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67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H56"/>
  <sheetViews>
    <sheetView workbookViewId="0" topLeftCell="A1">
      <selection activeCell="J29" sqref="J29"/>
    </sheetView>
  </sheetViews>
  <sheetFormatPr defaultColWidth="9.140625" defaultRowHeight="12.75"/>
  <cols>
    <col min="1" max="1" width="9.140625" style="162" customWidth="1"/>
    <col min="2" max="8" width="9.140625" style="531" customWidth="1"/>
    <col min="9" max="16384" width="9.140625" style="162" customWidth="1"/>
  </cols>
  <sheetData>
    <row r="1" ht="13.5">
      <c r="A1" s="362" t="s">
        <v>87</v>
      </c>
    </row>
    <row r="3" spans="1:8" ht="12.75">
      <c r="A3" s="536" t="s">
        <v>86</v>
      </c>
      <c r="B3" s="536">
        <f>'R0'!F43</f>
        <v>0</v>
      </c>
      <c r="C3" s="537">
        <f>'R0'!G43</f>
        <v>0</v>
      </c>
      <c r="D3" s="537">
        <f>'R0'!H43</f>
        <v>0</v>
      </c>
      <c r="E3" s="537">
        <f>'R0'!I43</f>
        <v>0</v>
      </c>
      <c r="F3" s="537">
        <f>'R0'!J43</f>
        <v>0</v>
      </c>
      <c r="G3" s="537">
        <f>'R0'!K43</f>
        <v>0</v>
      </c>
      <c r="H3" s="538">
        <f>'R0'!L43</f>
        <v>0</v>
      </c>
    </row>
    <row r="4" spans="1:8" ht="12.75">
      <c r="A4" s="542">
        <f>'R0'!$B$1</f>
        <v>0</v>
      </c>
      <c r="B4" s="539">
        <f>'R0'!F44</f>
        <v>0</v>
      </c>
      <c r="C4" s="540">
        <f>'R0'!G44</f>
        <v>0</v>
      </c>
      <c r="D4" s="540">
        <f>'R0'!H44</f>
        <v>0</v>
      </c>
      <c r="E4" s="540">
        <f>'R0'!I44</f>
        <v>0</v>
      </c>
      <c r="F4" s="540">
        <f>'R0'!J44</f>
        <v>0</v>
      </c>
      <c r="G4" s="540">
        <f>'R0'!K44</f>
        <v>0</v>
      </c>
      <c r="H4" s="541">
        <f>'R0'!L44</f>
        <v>0</v>
      </c>
    </row>
    <row r="5" spans="1:8" ht="12.75">
      <c r="A5" s="531"/>
      <c r="B5" s="539">
        <f>'R0'!F45</f>
        <v>0</v>
      </c>
      <c r="C5" s="540">
        <f>'R0'!G45</f>
        <v>0</v>
      </c>
      <c r="D5" s="540">
        <f>'R0'!H45</f>
        <v>0</v>
      </c>
      <c r="E5" s="540">
        <f>'R0'!I45</f>
        <v>0</v>
      </c>
      <c r="F5" s="540">
        <f>'R0'!J45</f>
        <v>0</v>
      </c>
      <c r="G5" s="540">
        <f>'R0'!K45</f>
        <v>0</v>
      </c>
      <c r="H5" s="541">
        <f>'R0'!L45</f>
        <v>0</v>
      </c>
    </row>
    <row r="6" spans="1:8" ht="12.75">
      <c r="A6" s="531"/>
      <c r="B6" s="542">
        <f>'R0'!F46</f>
        <v>0</v>
      </c>
      <c r="C6" s="543">
        <f>'R0'!G46</f>
        <v>0</v>
      </c>
      <c r="D6" s="543">
        <f>'R0'!H46</f>
        <v>0</v>
      </c>
      <c r="E6" s="543">
        <f>'R0'!I46</f>
        <v>0</v>
      </c>
      <c r="F6" s="543">
        <f>'R0'!J46</f>
        <v>0</v>
      </c>
      <c r="G6" s="543">
        <f>'R0'!K46</f>
        <v>0</v>
      </c>
      <c r="H6" s="544">
        <f>'R0'!L46</f>
        <v>0</v>
      </c>
    </row>
    <row r="8" spans="1:8" ht="12.75">
      <c r="A8" s="545" t="s">
        <v>40</v>
      </c>
      <c r="B8" s="536">
        <f>'R1'!$F$43</f>
        <v>0</v>
      </c>
      <c r="C8" s="537">
        <f>'R1'!$G$43</f>
        <v>0</v>
      </c>
      <c r="D8" s="537">
        <f>'R1'!$H$43</f>
        <v>0</v>
      </c>
      <c r="E8" s="537">
        <f>'R1'!$I$43</f>
        <v>0</v>
      </c>
      <c r="F8" s="537">
        <f>'R1'!$J$43</f>
        <v>0</v>
      </c>
      <c r="G8" s="537">
        <f>'R1'!$K$43</f>
        <v>0</v>
      </c>
      <c r="H8" s="538">
        <f>'R1'!$L$43</f>
        <v>0</v>
      </c>
    </row>
    <row r="9" spans="1:8" ht="12.75">
      <c r="A9" s="546">
        <f>'R1'!$B$1</f>
        <v>0</v>
      </c>
      <c r="B9" s="539">
        <f>'R1'!$F$44</f>
        <v>0</v>
      </c>
      <c r="C9" s="540">
        <f>'R1'!$G$44</f>
        <v>0</v>
      </c>
      <c r="D9" s="540">
        <f>'R1'!$H$44</f>
        <v>0</v>
      </c>
      <c r="E9" s="540">
        <f>'R1'!$I$44</f>
        <v>0</v>
      </c>
      <c r="F9" s="540">
        <f>'R1'!$J$44</f>
        <v>0</v>
      </c>
      <c r="G9" s="540">
        <f>'R1'!$K$44</f>
        <v>0</v>
      </c>
      <c r="H9" s="541">
        <f>'R1'!$L$44</f>
        <v>0</v>
      </c>
    </row>
    <row r="10" spans="1:8" ht="12.75">
      <c r="A10" s="531"/>
      <c r="B10" s="539">
        <f>'R1'!$F$45</f>
        <v>0</v>
      </c>
      <c r="C10" s="540">
        <f>'R1'!$G$45</f>
        <v>0</v>
      </c>
      <c r="D10" s="540">
        <f>'R1'!$H$45</f>
        <v>0</v>
      </c>
      <c r="E10" s="540">
        <f>'R1'!$I$45</f>
        <v>0</v>
      </c>
      <c r="F10" s="540">
        <f>'R1'!$J$45</f>
        <v>0</v>
      </c>
      <c r="G10" s="540">
        <f>'R1'!$K$45</f>
        <v>0</v>
      </c>
      <c r="H10" s="541">
        <f>'R1'!$L$45</f>
        <v>0</v>
      </c>
    </row>
    <row r="11" spans="1:8" ht="12.75">
      <c r="A11" s="531"/>
      <c r="B11" s="542">
        <f>'R1'!$F$46</f>
        <v>0</v>
      </c>
      <c r="C11" s="543">
        <f>'R1'!$G$46</f>
        <v>0</v>
      </c>
      <c r="D11" s="543">
        <f>'R1'!$H$46</f>
        <v>0</v>
      </c>
      <c r="E11" s="543">
        <f>'R1'!$I$46</f>
        <v>0</v>
      </c>
      <c r="F11" s="543">
        <f>'R1'!$J$46</f>
        <v>0</v>
      </c>
      <c r="G11" s="543">
        <f>'R1'!$K$46</f>
        <v>0</v>
      </c>
      <c r="H11" s="544">
        <f>'R1'!$L$46</f>
        <v>0</v>
      </c>
    </row>
    <row r="13" spans="1:8" ht="12.75">
      <c r="A13" s="536" t="s">
        <v>41</v>
      </c>
      <c r="B13" s="536">
        <f>'R2'!F43</f>
        <v>0</v>
      </c>
      <c r="C13" s="537">
        <f>'R2'!G43</f>
        <v>0</v>
      </c>
      <c r="D13" s="537">
        <f>'R2'!H43</f>
        <v>0</v>
      </c>
      <c r="E13" s="537">
        <f>'R2'!I43</f>
        <v>0</v>
      </c>
      <c r="F13" s="537">
        <f>'R2'!J43</f>
        <v>0</v>
      </c>
      <c r="G13" s="537">
        <f>'R2'!K43</f>
        <v>0</v>
      </c>
      <c r="H13" s="538">
        <f>'R2'!L43</f>
        <v>0</v>
      </c>
    </row>
    <row r="14" spans="1:8" ht="12.75">
      <c r="A14" s="542">
        <f>'R2'!$B$1</f>
        <v>0</v>
      </c>
      <c r="B14" s="539">
        <f>'R2'!F44</f>
        <v>0</v>
      </c>
      <c r="C14" s="540">
        <f>'R2'!G44</f>
        <v>0</v>
      </c>
      <c r="D14" s="540">
        <f>'R2'!H44</f>
        <v>0</v>
      </c>
      <c r="E14" s="540">
        <f>'R2'!I44</f>
        <v>0</v>
      </c>
      <c r="F14" s="540">
        <f>'R2'!J44</f>
        <v>0</v>
      </c>
      <c r="G14" s="540">
        <f>'R2'!K44</f>
        <v>0</v>
      </c>
      <c r="H14" s="541">
        <f>'R2'!L44</f>
        <v>0</v>
      </c>
    </row>
    <row r="15" spans="1:8" ht="12.75">
      <c r="A15" s="531"/>
      <c r="B15" s="539">
        <f>'R2'!F45</f>
        <v>0</v>
      </c>
      <c r="C15" s="540">
        <f>'R2'!G45</f>
        <v>0</v>
      </c>
      <c r="D15" s="540">
        <f>'R2'!H45</f>
        <v>0</v>
      </c>
      <c r="E15" s="540">
        <f>'R2'!I45</f>
        <v>0</v>
      </c>
      <c r="F15" s="540">
        <f>'R2'!J45</f>
        <v>0</v>
      </c>
      <c r="G15" s="540">
        <f>'R2'!K45</f>
        <v>0</v>
      </c>
      <c r="H15" s="541">
        <f>'R2'!L45</f>
        <v>0</v>
      </c>
    </row>
    <row r="16" spans="1:8" ht="12.75">
      <c r="A16" s="531"/>
      <c r="B16" s="542">
        <f>'R2'!F46</f>
        <v>0</v>
      </c>
      <c r="C16" s="543">
        <f>'R2'!G46</f>
        <v>0</v>
      </c>
      <c r="D16" s="543">
        <f>'R2'!H46</f>
        <v>0</v>
      </c>
      <c r="E16" s="543">
        <f>'R2'!I46</f>
        <v>0</v>
      </c>
      <c r="F16" s="543">
        <f>'R2'!J46</f>
        <v>0</v>
      </c>
      <c r="G16" s="543">
        <f>'R2'!K46</f>
        <v>0</v>
      </c>
      <c r="H16" s="544">
        <f>'R2'!L46</f>
        <v>0</v>
      </c>
    </row>
    <row r="18" spans="1:8" ht="12.75">
      <c r="A18" s="536" t="s">
        <v>42</v>
      </c>
      <c r="B18" s="536">
        <f>'R3'!F43</f>
        <v>0</v>
      </c>
      <c r="C18" s="537">
        <f>'R3'!G43</f>
        <v>0</v>
      </c>
      <c r="D18" s="537">
        <f>'R3'!H43</f>
        <v>0</v>
      </c>
      <c r="E18" s="537">
        <f>'R3'!I43</f>
        <v>0</v>
      </c>
      <c r="F18" s="537">
        <f>'R3'!J43</f>
        <v>0</v>
      </c>
      <c r="G18" s="537">
        <f>'R3'!K43</f>
        <v>0</v>
      </c>
      <c r="H18" s="538">
        <f>'R3'!L43</f>
        <v>0</v>
      </c>
    </row>
    <row r="19" spans="1:8" ht="12.75">
      <c r="A19" s="542">
        <f>'R3'!$B$1</f>
        <v>0</v>
      </c>
      <c r="B19" s="539">
        <f>'R3'!F44</f>
        <v>0</v>
      </c>
      <c r="C19" s="540">
        <f>'R3'!G44</f>
        <v>0</v>
      </c>
      <c r="D19" s="540">
        <f>'R3'!H44</f>
        <v>0</v>
      </c>
      <c r="E19" s="540">
        <f>'R3'!I44</f>
        <v>0</v>
      </c>
      <c r="F19" s="540">
        <f>'R3'!J44</f>
        <v>0</v>
      </c>
      <c r="G19" s="540">
        <f>'R3'!K44</f>
        <v>0</v>
      </c>
      <c r="H19" s="541">
        <f>'R3'!L44</f>
        <v>0</v>
      </c>
    </row>
    <row r="20" spans="1:8" ht="12.75">
      <c r="A20" s="531"/>
      <c r="B20" s="539">
        <f>'R3'!F45</f>
        <v>0</v>
      </c>
      <c r="C20" s="540">
        <f>'R3'!G45</f>
        <v>0</v>
      </c>
      <c r="D20" s="540">
        <f>'R3'!H45</f>
        <v>0</v>
      </c>
      <c r="E20" s="540">
        <f>'R3'!I45</f>
        <v>0</v>
      </c>
      <c r="F20" s="540">
        <f>'R3'!J45</f>
        <v>0</v>
      </c>
      <c r="G20" s="540">
        <f>'R3'!K45</f>
        <v>0</v>
      </c>
      <c r="H20" s="541">
        <f>'R3'!L45</f>
        <v>0</v>
      </c>
    </row>
    <row r="21" spans="1:8" ht="12.75">
      <c r="A21" s="531"/>
      <c r="B21" s="542">
        <f>'R3'!F46</f>
        <v>0</v>
      </c>
      <c r="C21" s="543">
        <f>'R3'!G46</f>
        <v>0</v>
      </c>
      <c r="D21" s="543">
        <f>'R3'!H46</f>
        <v>0</v>
      </c>
      <c r="E21" s="543">
        <f>'R3'!I46</f>
        <v>0</v>
      </c>
      <c r="F21" s="543">
        <f>'R3'!J46</f>
        <v>0</v>
      </c>
      <c r="G21" s="543">
        <f>'R3'!K46</f>
        <v>0</v>
      </c>
      <c r="H21" s="544">
        <f>'R3'!L46</f>
        <v>0</v>
      </c>
    </row>
    <row r="23" spans="1:8" ht="12.75">
      <c r="A23" s="536" t="s">
        <v>43</v>
      </c>
      <c r="B23" s="536">
        <f>'R4'!F43</f>
        <v>0</v>
      </c>
      <c r="C23" s="537">
        <f>'R4'!G43</f>
        <v>0</v>
      </c>
      <c r="D23" s="537">
        <f>'R4'!H43</f>
        <v>0</v>
      </c>
      <c r="E23" s="537">
        <f>'R4'!I43</f>
        <v>0</v>
      </c>
      <c r="F23" s="537">
        <f>'R4'!J43</f>
        <v>0</v>
      </c>
      <c r="G23" s="537">
        <f>'R4'!K43</f>
        <v>0</v>
      </c>
      <c r="H23" s="538">
        <f>'R4'!L43</f>
        <v>0</v>
      </c>
    </row>
    <row r="24" spans="1:8" ht="12.75">
      <c r="A24" s="542">
        <f>'R4'!$B$1</f>
        <v>0</v>
      </c>
      <c r="B24" s="539">
        <f>'R4'!F44</f>
        <v>0</v>
      </c>
      <c r="C24" s="540">
        <f>'R4'!G44</f>
        <v>0</v>
      </c>
      <c r="D24" s="540">
        <f>'R4'!H44</f>
        <v>0</v>
      </c>
      <c r="E24" s="540">
        <f>'R4'!I44</f>
        <v>0</v>
      </c>
      <c r="F24" s="540">
        <f>'R4'!J44</f>
        <v>0</v>
      </c>
      <c r="G24" s="540">
        <f>'R4'!K44</f>
        <v>0</v>
      </c>
      <c r="H24" s="541">
        <f>'R4'!L44</f>
        <v>0</v>
      </c>
    </row>
    <row r="25" spans="1:8" ht="12.75">
      <c r="A25" s="531"/>
      <c r="B25" s="539">
        <f>'R4'!F45</f>
        <v>0</v>
      </c>
      <c r="C25" s="540">
        <f>'R4'!G45</f>
        <v>0</v>
      </c>
      <c r="D25" s="540">
        <f>'R4'!H45</f>
        <v>0</v>
      </c>
      <c r="E25" s="540">
        <f>'R4'!I45</f>
        <v>0</v>
      </c>
      <c r="F25" s="540">
        <f>'R4'!J45</f>
        <v>0</v>
      </c>
      <c r="G25" s="540">
        <f>'R4'!K45</f>
        <v>0</v>
      </c>
      <c r="H25" s="541">
        <f>'R4'!L45</f>
        <v>0</v>
      </c>
    </row>
    <row r="26" spans="1:8" ht="12.75">
      <c r="A26" s="531"/>
      <c r="B26" s="542">
        <f>'R4'!F46</f>
        <v>0</v>
      </c>
      <c r="C26" s="543">
        <f>'R4'!G46</f>
        <v>0</v>
      </c>
      <c r="D26" s="543">
        <f>'R4'!H46</f>
        <v>0</v>
      </c>
      <c r="E26" s="543">
        <f>'R4'!I46</f>
        <v>0</v>
      </c>
      <c r="F26" s="543">
        <f>'R4'!J46</f>
        <v>0</v>
      </c>
      <c r="G26" s="543">
        <f>'R4'!K46</f>
        <v>0</v>
      </c>
      <c r="H26" s="544">
        <f>'R4'!L46</f>
        <v>0</v>
      </c>
    </row>
    <row r="28" spans="1:8" ht="12.75">
      <c r="A28" s="536" t="s">
        <v>44</v>
      </c>
      <c r="B28" s="536">
        <f>'R5'!F43</f>
        <v>0</v>
      </c>
      <c r="C28" s="537">
        <f>'R5'!G43</f>
        <v>0</v>
      </c>
      <c r="D28" s="537">
        <f>'R5'!H43</f>
        <v>0</v>
      </c>
      <c r="E28" s="537">
        <f>'R5'!I43</f>
        <v>0</v>
      </c>
      <c r="F28" s="537">
        <f>'R5'!J43</f>
        <v>0</v>
      </c>
      <c r="G28" s="537">
        <f>'R5'!K43</f>
        <v>0</v>
      </c>
      <c r="H28" s="538">
        <f>'R5'!L43</f>
        <v>0</v>
      </c>
    </row>
    <row r="29" spans="1:8" ht="12.75">
      <c r="A29" s="542">
        <f>'R5'!$B$1</f>
        <v>0</v>
      </c>
      <c r="B29" s="539">
        <f>'R5'!F44</f>
        <v>0</v>
      </c>
      <c r="C29" s="540">
        <f>'R5'!G44</f>
        <v>0</v>
      </c>
      <c r="D29" s="540">
        <f>'R5'!H44</f>
        <v>0</v>
      </c>
      <c r="E29" s="540">
        <f>'R5'!I44</f>
        <v>0</v>
      </c>
      <c r="F29" s="540">
        <f>'R5'!J44</f>
        <v>0</v>
      </c>
      <c r="G29" s="540">
        <f>'R5'!K44</f>
        <v>0</v>
      </c>
      <c r="H29" s="541">
        <f>'R5'!L44</f>
        <v>0</v>
      </c>
    </row>
    <row r="30" spans="1:8" ht="12.75">
      <c r="A30" s="531"/>
      <c r="B30" s="539">
        <f>'R5'!F45</f>
        <v>0</v>
      </c>
      <c r="C30" s="540">
        <f>'R5'!G45</f>
        <v>0</v>
      </c>
      <c r="D30" s="540">
        <f>'R5'!H45</f>
        <v>0</v>
      </c>
      <c r="E30" s="540">
        <f>'R5'!I45</f>
        <v>0</v>
      </c>
      <c r="F30" s="540">
        <f>'R5'!J45</f>
        <v>0</v>
      </c>
      <c r="G30" s="540">
        <f>'R5'!K45</f>
        <v>0</v>
      </c>
      <c r="H30" s="541">
        <f>'R5'!L45</f>
        <v>0</v>
      </c>
    </row>
    <row r="31" spans="1:8" ht="12.75">
      <c r="A31" s="531"/>
      <c r="B31" s="542">
        <f>'R5'!F46</f>
        <v>0</v>
      </c>
      <c r="C31" s="543">
        <f>'R5'!G46</f>
        <v>0</v>
      </c>
      <c r="D31" s="543">
        <f>'R5'!H46</f>
        <v>0</v>
      </c>
      <c r="E31" s="543">
        <f>'R5'!I46</f>
        <v>0</v>
      </c>
      <c r="F31" s="543">
        <f>'R5'!J46</f>
        <v>0</v>
      </c>
      <c r="G31" s="543">
        <f>'R5'!K46</f>
        <v>0</v>
      </c>
      <c r="H31" s="544">
        <f>'R5'!L46</f>
        <v>0</v>
      </c>
    </row>
    <row r="33" spans="1:8" ht="12.75">
      <c r="A33" s="536" t="s">
        <v>45</v>
      </c>
      <c r="B33" s="536">
        <f>'R6'!F43</f>
        <v>0</v>
      </c>
      <c r="C33" s="537">
        <f>'R6'!G43</f>
        <v>0</v>
      </c>
      <c r="D33" s="537">
        <f>'R6'!H43</f>
        <v>0</v>
      </c>
      <c r="E33" s="537">
        <f>'R6'!I43</f>
        <v>0</v>
      </c>
      <c r="F33" s="537">
        <f>'R6'!J43</f>
        <v>0</v>
      </c>
      <c r="G33" s="537">
        <f>'R6'!K43</f>
        <v>0</v>
      </c>
      <c r="H33" s="538">
        <f>'R6'!L43</f>
        <v>0</v>
      </c>
    </row>
    <row r="34" spans="1:8" ht="12.75">
      <c r="A34" s="542">
        <f>'R6'!$B$1</f>
        <v>0</v>
      </c>
      <c r="B34" s="539">
        <f>'R6'!F44</f>
        <v>0</v>
      </c>
      <c r="C34" s="540">
        <f>'R6'!G44</f>
        <v>0</v>
      </c>
      <c r="D34" s="540">
        <f>'R6'!H44</f>
        <v>0</v>
      </c>
      <c r="E34" s="540">
        <f>'R6'!I44</f>
        <v>0</v>
      </c>
      <c r="F34" s="540">
        <f>'R6'!J44</f>
        <v>0</v>
      </c>
      <c r="G34" s="540">
        <f>'R6'!K44</f>
        <v>0</v>
      </c>
      <c r="H34" s="541">
        <f>'R6'!L44</f>
        <v>0</v>
      </c>
    </row>
    <row r="35" spans="1:8" ht="12.75">
      <c r="A35" s="531"/>
      <c r="B35" s="539">
        <f>'R6'!F45</f>
        <v>0</v>
      </c>
      <c r="C35" s="540">
        <f>'R6'!G45</f>
        <v>0</v>
      </c>
      <c r="D35" s="540">
        <f>'R6'!H45</f>
        <v>0</v>
      </c>
      <c r="E35" s="540">
        <f>'R6'!I45</f>
        <v>0</v>
      </c>
      <c r="F35" s="540">
        <f>'R6'!J45</f>
        <v>0</v>
      </c>
      <c r="G35" s="540">
        <f>'R6'!K45</f>
        <v>0</v>
      </c>
      <c r="H35" s="541">
        <f>'R6'!L45</f>
        <v>0</v>
      </c>
    </row>
    <row r="36" spans="1:8" ht="12.75">
      <c r="A36" s="531"/>
      <c r="B36" s="542">
        <f>'R6'!F46</f>
        <v>0</v>
      </c>
      <c r="C36" s="543">
        <f>'R6'!G46</f>
        <v>0</v>
      </c>
      <c r="D36" s="543">
        <f>'R6'!H46</f>
        <v>0</v>
      </c>
      <c r="E36" s="543">
        <f>'R6'!I46</f>
        <v>0</v>
      </c>
      <c r="F36" s="543">
        <f>'R6'!J46</f>
        <v>0</v>
      </c>
      <c r="G36" s="543">
        <f>'R6'!K46</f>
        <v>0</v>
      </c>
      <c r="H36" s="544">
        <f>'R6'!L46</f>
        <v>0</v>
      </c>
    </row>
    <row r="38" spans="1:8" ht="12.75">
      <c r="A38" s="536" t="s">
        <v>46</v>
      </c>
      <c r="B38" s="536">
        <f>'R7'!F43</f>
        <v>0</v>
      </c>
      <c r="C38" s="537">
        <f>'R7'!G43</f>
        <v>0</v>
      </c>
      <c r="D38" s="537">
        <f>'R7'!H43</f>
        <v>0</v>
      </c>
      <c r="E38" s="537">
        <f>'R7'!I43</f>
        <v>0</v>
      </c>
      <c r="F38" s="537">
        <f>'R7'!J43</f>
        <v>0</v>
      </c>
      <c r="G38" s="537">
        <f>'R7'!K43</f>
        <v>0</v>
      </c>
      <c r="H38" s="538">
        <f>'R7'!L43</f>
        <v>0</v>
      </c>
    </row>
    <row r="39" spans="1:8" ht="12.75">
      <c r="A39" s="542">
        <f>'R7'!$B$1</f>
        <v>0</v>
      </c>
      <c r="B39" s="539">
        <f>'R7'!F44</f>
        <v>0</v>
      </c>
      <c r="C39" s="540">
        <f>'R7'!G44</f>
        <v>0</v>
      </c>
      <c r="D39" s="540">
        <f>'R7'!H44</f>
        <v>0</v>
      </c>
      <c r="E39" s="540">
        <f>'R7'!I44</f>
        <v>0</v>
      </c>
      <c r="F39" s="540">
        <f>'R7'!J44</f>
        <v>0</v>
      </c>
      <c r="G39" s="540">
        <f>'R7'!K44</f>
        <v>0</v>
      </c>
      <c r="H39" s="541">
        <f>'R7'!L44</f>
        <v>0</v>
      </c>
    </row>
    <row r="40" spans="1:8" ht="12.75">
      <c r="A40" s="531"/>
      <c r="B40" s="539">
        <f>'R7'!F45</f>
        <v>0</v>
      </c>
      <c r="C40" s="540">
        <f>'R7'!G45</f>
        <v>0</v>
      </c>
      <c r="D40" s="540">
        <f>'R7'!H45</f>
        <v>0</v>
      </c>
      <c r="E40" s="540">
        <f>'R7'!I45</f>
        <v>0</v>
      </c>
      <c r="F40" s="540">
        <f>'R7'!J45</f>
        <v>0</v>
      </c>
      <c r="G40" s="540">
        <f>'R7'!K45</f>
        <v>0</v>
      </c>
      <c r="H40" s="541">
        <f>'R7'!L45</f>
        <v>0</v>
      </c>
    </row>
    <row r="41" spans="1:8" ht="12.75">
      <c r="A41" s="531"/>
      <c r="B41" s="542">
        <f>'R7'!F46</f>
        <v>0</v>
      </c>
      <c r="C41" s="543">
        <f>'R7'!G46</f>
        <v>0</v>
      </c>
      <c r="D41" s="543">
        <f>'R7'!H46</f>
        <v>0</v>
      </c>
      <c r="E41" s="543">
        <f>'R7'!I46</f>
        <v>0</v>
      </c>
      <c r="F41" s="543">
        <f>'R7'!J46</f>
        <v>0</v>
      </c>
      <c r="G41" s="543">
        <f>'R7'!K46</f>
        <v>0</v>
      </c>
      <c r="H41" s="544">
        <f>'R7'!L46</f>
        <v>0</v>
      </c>
    </row>
    <row r="43" spans="1:8" ht="12.75">
      <c r="A43" s="536" t="s">
        <v>47</v>
      </c>
      <c r="B43" s="536">
        <f>'R8'!F43</f>
        <v>0</v>
      </c>
      <c r="C43" s="537">
        <f>'R8'!G43</f>
        <v>0</v>
      </c>
      <c r="D43" s="537">
        <f>'R8'!H43</f>
        <v>0</v>
      </c>
      <c r="E43" s="537">
        <f>'R8'!I43</f>
        <v>0</v>
      </c>
      <c r="F43" s="537">
        <f>'R8'!J43</f>
        <v>0</v>
      </c>
      <c r="G43" s="537">
        <f>'R8'!K43</f>
        <v>0</v>
      </c>
      <c r="H43" s="538">
        <f>'R8'!L43</f>
        <v>0</v>
      </c>
    </row>
    <row r="44" spans="1:8" ht="12.75">
      <c r="A44" s="542">
        <f>'R8'!$B$1</f>
        <v>0</v>
      </c>
      <c r="B44" s="539">
        <f>'R8'!F44</f>
        <v>0</v>
      </c>
      <c r="C44" s="540">
        <f>'R8'!G44</f>
        <v>0</v>
      </c>
      <c r="D44" s="540">
        <f>'R8'!H44</f>
        <v>0</v>
      </c>
      <c r="E44" s="540">
        <f>'R8'!I44</f>
        <v>0</v>
      </c>
      <c r="F44" s="540">
        <f>'R8'!J44</f>
        <v>0</v>
      </c>
      <c r="G44" s="540">
        <f>'R8'!K44</f>
        <v>0</v>
      </c>
      <c r="H44" s="541">
        <f>'R8'!L44</f>
        <v>0</v>
      </c>
    </row>
    <row r="45" spans="1:8" ht="12.75">
      <c r="A45" s="531"/>
      <c r="B45" s="539">
        <f>'R8'!F45</f>
        <v>0</v>
      </c>
      <c r="C45" s="540">
        <f>'R8'!G45</f>
        <v>0</v>
      </c>
      <c r="D45" s="540">
        <f>'R8'!H45</f>
        <v>0</v>
      </c>
      <c r="E45" s="540">
        <f>'R8'!I45</f>
        <v>0</v>
      </c>
      <c r="F45" s="540">
        <f>'R8'!J45</f>
        <v>0</v>
      </c>
      <c r="G45" s="540">
        <f>'R8'!K45</f>
        <v>0</v>
      </c>
      <c r="H45" s="541">
        <f>'R8'!L45</f>
        <v>0</v>
      </c>
    </row>
    <row r="46" spans="1:8" ht="12.75">
      <c r="A46" s="531"/>
      <c r="B46" s="542">
        <f>'R8'!F46</f>
        <v>0</v>
      </c>
      <c r="C46" s="543">
        <f>'R8'!G46</f>
        <v>0</v>
      </c>
      <c r="D46" s="543">
        <f>'R8'!H46</f>
        <v>0</v>
      </c>
      <c r="E46" s="543">
        <f>'R8'!I46</f>
        <v>0</v>
      </c>
      <c r="F46" s="543">
        <f>'R8'!J46</f>
        <v>0</v>
      </c>
      <c r="G46" s="543">
        <f>'R8'!K46</f>
        <v>0</v>
      </c>
      <c r="H46" s="544">
        <f>'R8'!L46</f>
        <v>0</v>
      </c>
    </row>
    <row r="48" spans="1:8" ht="12.75">
      <c r="A48" s="536" t="s">
        <v>48</v>
      </c>
      <c r="B48" s="536">
        <f>'R9'!F43</f>
        <v>0</v>
      </c>
      <c r="C48" s="537">
        <f>'R9'!G43</f>
        <v>0</v>
      </c>
      <c r="D48" s="537">
        <f>'R9'!H43</f>
        <v>0</v>
      </c>
      <c r="E48" s="537">
        <f>'R9'!I43</f>
        <v>0</v>
      </c>
      <c r="F48" s="537">
        <f>'R9'!J43</f>
        <v>0</v>
      </c>
      <c r="G48" s="537">
        <f>'R9'!K43</f>
        <v>0</v>
      </c>
      <c r="H48" s="538">
        <f>'R9'!L43</f>
        <v>0</v>
      </c>
    </row>
    <row r="49" spans="1:8" ht="12.75">
      <c r="A49" s="542">
        <f>'R9'!$B$1</f>
        <v>0</v>
      </c>
      <c r="B49" s="539">
        <f>'R9'!F44</f>
        <v>0</v>
      </c>
      <c r="C49" s="540">
        <f>'R9'!G44</f>
        <v>0</v>
      </c>
      <c r="D49" s="540">
        <f>'R9'!H44</f>
        <v>0</v>
      </c>
      <c r="E49" s="540">
        <f>'R9'!I44</f>
        <v>0</v>
      </c>
      <c r="F49" s="540">
        <f>'R9'!J44</f>
        <v>0</v>
      </c>
      <c r="G49" s="540">
        <f>'R9'!K44</f>
        <v>0</v>
      </c>
      <c r="H49" s="541">
        <f>'R9'!L44</f>
        <v>0</v>
      </c>
    </row>
    <row r="50" spans="1:8" ht="12.75">
      <c r="A50" s="531"/>
      <c r="B50" s="539">
        <f>'R9'!F45</f>
        <v>0</v>
      </c>
      <c r="C50" s="540">
        <f>'R9'!G45</f>
        <v>0</v>
      </c>
      <c r="D50" s="540">
        <f>'R9'!H45</f>
        <v>0</v>
      </c>
      <c r="E50" s="540">
        <f>'R9'!I45</f>
        <v>0</v>
      </c>
      <c r="F50" s="540">
        <f>'R9'!J45</f>
        <v>0</v>
      </c>
      <c r="G50" s="540">
        <f>'R9'!K45</f>
        <v>0</v>
      </c>
      <c r="H50" s="541">
        <f>'R9'!L45</f>
        <v>0</v>
      </c>
    </row>
    <row r="51" spans="1:8" ht="12.75">
      <c r="A51" s="531"/>
      <c r="B51" s="542">
        <f>'R9'!F46</f>
        <v>0</v>
      </c>
      <c r="C51" s="543">
        <f>'R9'!G46</f>
        <v>0</v>
      </c>
      <c r="D51" s="543">
        <f>'R9'!H46</f>
        <v>0</v>
      </c>
      <c r="E51" s="543">
        <f>'R9'!I46</f>
        <v>0</v>
      </c>
      <c r="F51" s="543">
        <f>'R9'!J46</f>
        <v>0</v>
      </c>
      <c r="G51" s="543">
        <f>'R9'!K46</f>
        <v>0</v>
      </c>
      <c r="H51" s="544">
        <f>'R9'!L46</f>
        <v>0</v>
      </c>
    </row>
    <row r="53" spans="1:8" ht="12.75">
      <c r="A53" s="536" t="s">
        <v>49</v>
      </c>
      <c r="B53" s="536">
        <f>'R10'!F43</f>
        <v>0</v>
      </c>
      <c r="C53" s="537">
        <f>'R10'!G43</f>
        <v>0</v>
      </c>
      <c r="D53" s="537">
        <f>'R10'!H43</f>
        <v>0</v>
      </c>
      <c r="E53" s="537">
        <f>'R10'!I43</f>
        <v>0</v>
      </c>
      <c r="F53" s="537">
        <f>'R10'!J43</f>
        <v>0</v>
      </c>
      <c r="G53" s="537">
        <f>'R10'!K43</f>
        <v>0</v>
      </c>
      <c r="H53" s="538">
        <f>'R10'!L43</f>
        <v>0</v>
      </c>
    </row>
    <row r="54" spans="1:8" ht="12.75">
      <c r="A54" s="542">
        <f>'R10'!$B$1</f>
        <v>0</v>
      </c>
      <c r="B54" s="539">
        <f>'R10'!F44</f>
        <v>0</v>
      </c>
      <c r="C54" s="540">
        <f>'R10'!G44</f>
        <v>0</v>
      </c>
      <c r="D54" s="540">
        <f>'R10'!H44</f>
        <v>0</v>
      </c>
      <c r="E54" s="540">
        <f>'R10'!I44</f>
        <v>0</v>
      </c>
      <c r="F54" s="540">
        <f>'R10'!J44</f>
        <v>0</v>
      </c>
      <c r="G54" s="540">
        <f>'R10'!K44</f>
        <v>0</v>
      </c>
      <c r="H54" s="541">
        <f>'R10'!L44</f>
        <v>0</v>
      </c>
    </row>
    <row r="55" spans="1:8" ht="12.75">
      <c r="A55" s="531"/>
      <c r="B55" s="539">
        <f>'R10'!F45</f>
        <v>0</v>
      </c>
      <c r="C55" s="540">
        <f>'R10'!G45</f>
        <v>0</v>
      </c>
      <c r="D55" s="540">
        <f>'R10'!H45</f>
        <v>0</v>
      </c>
      <c r="E55" s="540">
        <f>'R10'!I45</f>
        <v>0</v>
      </c>
      <c r="F55" s="540">
        <f>'R10'!J45</f>
        <v>0</v>
      </c>
      <c r="G55" s="540">
        <f>'R10'!K45</f>
        <v>0</v>
      </c>
      <c r="H55" s="541">
        <f>'R10'!L45</f>
        <v>0</v>
      </c>
    </row>
    <row r="56" spans="1:8" ht="12.75">
      <c r="A56" s="531"/>
      <c r="B56" s="542">
        <f>'R10'!F46</f>
        <v>0</v>
      </c>
      <c r="C56" s="543">
        <f>'R10'!G46</f>
        <v>0</v>
      </c>
      <c r="D56" s="543">
        <f>'R10'!H46</f>
        <v>0</v>
      </c>
      <c r="E56" s="543">
        <f>'R10'!I46</f>
        <v>0</v>
      </c>
      <c r="F56" s="543">
        <f>'R10'!J46</f>
        <v>0</v>
      </c>
      <c r="G56" s="543">
        <f>'R10'!K46</f>
        <v>0</v>
      </c>
      <c r="H56" s="544">
        <f>'R10'!L46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/>
  <dimension ref="A1:A1"/>
  <sheetViews>
    <sheetView workbookViewId="0" topLeftCell="A1">
      <selection activeCell="Q30" sqref="Q30"/>
    </sheetView>
  </sheetViews>
  <sheetFormatPr defaultColWidth="9.140625" defaultRowHeight="12.75"/>
  <cols>
    <col min="1" max="16384" width="9.140625" style="533" customWidth="1"/>
  </cols>
  <sheetData>
    <row r="1" ht="12.75">
      <c r="A1" s="532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0"/>
  <sheetViews>
    <sheetView workbookViewId="0" topLeftCell="A1">
      <selection activeCell="J35" sqref="J35"/>
    </sheetView>
  </sheetViews>
  <sheetFormatPr defaultColWidth="9.140625" defaultRowHeight="12.75"/>
  <cols>
    <col min="1" max="1" width="13.8515625" style="154" customWidth="1"/>
    <col min="2" max="16384" width="9.140625" style="154" customWidth="1"/>
  </cols>
  <sheetData>
    <row r="1" ht="11.25">
      <c r="A1" s="153" t="s">
        <v>253</v>
      </c>
    </row>
    <row r="3" spans="1:5" ht="11.25">
      <c r="A3" s="153" t="s">
        <v>93</v>
      </c>
      <c r="B3" s="153"/>
      <c r="C3" s="153"/>
      <c r="D3" s="153"/>
      <c r="E3" s="153"/>
    </row>
    <row r="4" spans="2:10" ht="11.25">
      <c r="B4" s="155" t="s">
        <v>95</v>
      </c>
      <c r="C4" s="155"/>
      <c r="D4" s="155"/>
      <c r="E4" s="155"/>
      <c r="F4" s="155"/>
      <c r="G4" s="155"/>
      <c r="H4" s="155"/>
      <c r="I4" s="155"/>
      <c r="J4" s="155"/>
    </row>
    <row r="5" spans="2:10" ht="11.25">
      <c r="B5" s="316" t="s">
        <v>94</v>
      </c>
      <c r="C5" s="316"/>
      <c r="D5" s="316"/>
      <c r="E5" s="316"/>
      <c r="F5" s="316"/>
      <c r="G5" s="316"/>
      <c r="H5" s="316"/>
      <c r="I5" s="316"/>
      <c r="J5" s="316"/>
    </row>
    <row r="6" spans="2:10" ht="11.25">
      <c r="B6" s="372" t="s">
        <v>266</v>
      </c>
      <c r="C6" s="372"/>
      <c r="D6" s="372"/>
      <c r="E6" s="372"/>
      <c r="F6" s="372"/>
      <c r="G6" s="372"/>
      <c r="H6" s="372"/>
      <c r="I6" s="372"/>
      <c r="J6" s="372"/>
    </row>
    <row r="7" spans="2:10" ht="11.25">
      <c r="B7" s="157" t="s">
        <v>96</v>
      </c>
      <c r="C7" s="157"/>
      <c r="D7" s="157"/>
      <c r="E7" s="157"/>
      <c r="F7" s="157"/>
      <c r="G7" s="157"/>
      <c r="H7" s="157"/>
      <c r="I7" s="157"/>
      <c r="J7" s="157"/>
    </row>
    <row r="8" spans="2:10" ht="11.25">
      <c r="B8" s="156"/>
      <c r="C8" s="156"/>
      <c r="D8" s="156"/>
      <c r="E8" s="156"/>
      <c r="F8" s="156"/>
      <c r="G8" s="156"/>
      <c r="H8" s="156"/>
      <c r="I8" s="156"/>
      <c r="J8" s="156"/>
    </row>
    <row r="9" spans="1:10" ht="11.25">
      <c r="A9" s="153" t="s">
        <v>97</v>
      </c>
      <c r="B9" s="154" t="s">
        <v>98</v>
      </c>
      <c r="D9" s="156"/>
      <c r="E9" s="156"/>
      <c r="F9" s="156"/>
      <c r="G9" s="156"/>
      <c r="H9" s="156"/>
      <c r="I9" s="156"/>
      <c r="J9" s="156"/>
    </row>
    <row r="10" spans="2:10" ht="11.25">
      <c r="B10" s="154" t="s">
        <v>208</v>
      </c>
      <c r="D10" s="156"/>
      <c r="E10" s="156"/>
      <c r="F10" s="156"/>
      <c r="G10" s="156"/>
      <c r="H10" s="156"/>
      <c r="I10" s="156"/>
      <c r="J10" s="156"/>
    </row>
    <row r="11" spans="2:10" ht="11.25">
      <c r="B11" s="154" t="s">
        <v>207</v>
      </c>
      <c r="D11" s="156"/>
      <c r="E11" s="156"/>
      <c r="F11" s="156"/>
      <c r="G11" s="156"/>
      <c r="H11" s="156"/>
      <c r="I11" s="156"/>
      <c r="J11" s="156"/>
    </row>
    <row r="12" spans="2:10" ht="11.25">
      <c r="B12" s="156"/>
      <c r="C12" s="156"/>
      <c r="D12" s="156"/>
      <c r="E12" s="156"/>
      <c r="F12" s="156"/>
      <c r="G12" s="156"/>
      <c r="H12" s="156"/>
      <c r="I12" s="156"/>
      <c r="J12" s="156"/>
    </row>
    <row r="13" ht="11.25" customHeight="1">
      <c r="A13" s="154" t="s">
        <v>254</v>
      </c>
    </row>
    <row r="14" ht="11.25">
      <c r="B14" s="154" t="s">
        <v>99</v>
      </c>
    </row>
    <row r="15" ht="11.25">
      <c r="B15" s="154" t="s">
        <v>100</v>
      </c>
    </row>
    <row r="16" ht="11.25">
      <c r="B16" s="154" t="s">
        <v>101</v>
      </c>
    </row>
    <row r="17" ht="11.25">
      <c r="B17" s="154" t="s">
        <v>102</v>
      </c>
    </row>
    <row r="18" ht="11.25">
      <c r="B18" s="154" t="s">
        <v>209</v>
      </c>
    </row>
    <row r="19" ht="11.25">
      <c r="B19" s="152" t="s">
        <v>103</v>
      </c>
    </row>
    <row r="20" ht="11.25">
      <c r="B20" s="152"/>
    </row>
    <row r="21" s="375" customFormat="1" ht="11.25">
      <c r="A21" s="374" t="s">
        <v>104</v>
      </c>
    </row>
    <row r="22" ht="14.25" customHeight="1">
      <c r="A22" s="153" t="s">
        <v>113</v>
      </c>
    </row>
    <row r="23" spans="1:2" ht="11.25">
      <c r="A23" s="153"/>
      <c r="B23" s="154" t="s">
        <v>105</v>
      </c>
    </row>
    <row r="24" spans="1:2" ht="11.25">
      <c r="A24" s="153"/>
      <c r="B24" s="154" t="s">
        <v>106</v>
      </c>
    </row>
    <row r="25" spans="1:2" ht="11.25">
      <c r="A25" s="153"/>
      <c r="B25" s="154" t="s">
        <v>210</v>
      </c>
    </row>
    <row r="26" spans="1:2" ht="11.25">
      <c r="A26" s="153"/>
      <c r="B26" s="154" t="s">
        <v>261</v>
      </c>
    </row>
    <row r="27" spans="1:3" ht="11.25">
      <c r="A27" s="153"/>
      <c r="C27" s="154" t="s">
        <v>107</v>
      </c>
    </row>
    <row r="28" spans="1:3" ht="11.25">
      <c r="A28" s="153"/>
      <c r="C28" s="373" t="s">
        <v>262</v>
      </c>
    </row>
    <row r="29" spans="1:3" ht="11.25">
      <c r="A29" s="153"/>
      <c r="C29" s="373" t="s">
        <v>108</v>
      </c>
    </row>
    <row r="30" spans="1:3" ht="11.25">
      <c r="A30" s="153"/>
      <c r="C30" s="373" t="s">
        <v>110</v>
      </c>
    </row>
    <row r="31" spans="1:3" ht="11.25">
      <c r="A31" s="153"/>
      <c r="C31" s="373" t="s">
        <v>109</v>
      </c>
    </row>
    <row r="32" spans="1:2" ht="11.25">
      <c r="A32" s="153"/>
      <c r="B32" s="154" t="s">
        <v>263</v>
      </c>
    </row>
    <row r="33" spans="1:3" ht="11.25">
      <c r="A33" s="153"/>
      <c r="C33" s="154" t="s">
        <v>255</v>
      </c>
    </row>
    <row r="34" spans="1:3" ht="11.25">
      <c r="A34" s="153"/>
      <c r="C34" s="373" t="s">
        <v>118</v>
      </c>
    </row>
    <row r="35" spans="1:3" ht="11.25">
      <c r="A35" s="153"/>
      <c r="C35" s="373" t="s">
        <v>111</v>
      </c>
    </row>
    <row r="36" spans="1:3" ht="11.25">
      <c r="A36" s="153"/>
      <c r="C36" s="373" t="s">
        <v>211</v>
      </c>
    </row>
    <row r="37" spans="1:3" ht="11.25">
      <c r="A37" s="153"/>
      <c r="C37" s="373"/>
    </row>
    <row r="38" spans="1:3" ht="11.25">
      <c r="A38" s="153" t="s">
        <v>112</v>
      </c>
      <c r="C38" s="373"/>
    </row>
    <row r="39" spans="1:3" ht="11.25">
      <c r="A39" s="153"/>
      <c r="B39" s="154" t="s">
        <v>212</v>
      </c>
      <c r="C39" s="373"/>
    </row>
    <row r="40" spans="1:3" ht="11.25">
      <c r="A40" s="153"/>
      <c r="B40" s="154" t="s">
        <v>119</v>
      </c>
      <c r="C40" s="373"/>
    </row>
    <row r="41" spans="1:2" ht="11.25">
      <c r="A41" s="153"/>
      <c r="B41" s="154" t="s">
        <v>115</v>
      </c>
    </row>
    <row r="42" ht="11.25">
      <c r="B42" s="154" t="s">
        <v>114</v>
      </c>
    </row>
    <row r="43" ht="11.25">
      <c r="B43" s="154" t="s">
        <v>116</v>
      </c>
    </row>
    <row r="44" ht="11.25">
      <c r="B44" s="154" t="s">
        <v>120</v>
      </c>
    </row>
    <row r="45" ht="11.25">
      <c r="B45" s="154" t="s">
        <v>264</v>
      </c>
    </row>
    <row r="47" ht="11.25">
      <c r="A47" s="153" t="s">
        <v>117</v>
      </c>
    </row>
    <row r="48" ht="11.25">
      <c r="B48" s="154" t="s">
        <v>265</v>
      </c>
    </row>
    <row r="49" ht="11.25">
      <c r="B49" s="154" t="s">
        <v>121</v>
      </c>
    </row>
    <row r="50" ht="11.25">
      <c r="B50" s="154" t="s">
        <v>122</v>
      </c>
    </row>
    <row r="53" ht="11.25">
      <c r="A53" s="153"/>
    </row>
    <row r="54" ht="11.25">
      <c r="A54" s="153"/>
    </row>
    <row r="55" ht="11.25">
      <c r="A55" s="153"/>
    </row>
    <row r="56" ht="11.25">
      <c r="A56" s="153"/>
    </row>
    <row r="57" ht="11.25">
      <c r="A57" s="153"/>
    </row>
    <row r="58" ht="11.25">
      <c r="A58" s="153"/>
    </row>
    <row r="59" ht="11.25">
      <c r="A59" s="153"/>
    </row>
    <row r="61" spans="1:2" ht="11.25">
      <c r="A61" s="153"/>
      <c r="B61" s="153"/>
    </row>
    <row r="63" ht="11.25">
      <c r="B63" s="153"/>
    </row>
    <row r="70" ht="11.25">
      <c r="C70" s="152"/>
    </row>
  </sheetData>
  <sheetProtection/>
  <printOptions/>
  <pageMargins left="0.28" right="0.32" top="0.51" bottom="0.5" header="0.5" footer="0.5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9"/>
  <sheetViews>
    <sheetView tabSelected="1" zoomScale="85" zoomScaleNormal="85" workbookViewId="0" topLeftCell="A1">
      <selection activeCell="D3" sqref="D3"/>
    </sheetView>
  </sheetViews>
  <sheetFormatPr defaultColWidth="9.140625" defaultRowHeight="12.75"/>
  <cols>
    <col min="1" max="1" width="13.8515625" style="295" customWidth="1"/>
    <col min="2" max="2" width="23.57421875" style="295" customWidth="1"/>
    <col min="3" max="3" width="22.421875" style="295" customWidth="1"/>
    <col min="4" max="4" width="25.421875" style="294" customWidth="1"/>
    <col min="5" max="5" width="12.57421875" style="292" customWidth="1"/>
    <col min="6" max="6" width="27.00390625" style="293" customWidth="1"/>
    <col min="7" max="7" width="17.57421875" style="293" customWidth="1"/>
    <col min="8" max="8" width="27.28125" style="294" customWidth="1"/>
    <col min="9" max="9" width="26.00390625" style="295" customWidth="1"/>
    <col min="10" max="10" width="22.28125" style="295" customWidth="1"/>
    <col min="11" max="16384" width="9.140625" style="295" customWidth="1"/>
  </cols>
  <sheetData>
    <row r="1" ht="14.25">
      <c r="A1" s="455" t="s">
        <v>123</v>
      </c>
    </row>
    <row r="2" spans="1:8" ht="11.25" customHeight="1">
      <c r="A2" s="460" t="s">
        <v>124</v>
      </c>
      <c r="B2" s="307"/>
      <c r="C2" s="292"/>
      <c r="D2" s="293"/>
      <c r="E2" s="293"/>
      <c r="F2" s="294"/>
      <c r="G2" s="295"/>
      <c r="H2" s="295"/>
    </row>
    <row r="3" spans="1:8" ht="11.25">
      <c r="A3" s="461" t="s">
        <v>213</v>
      </c>
      <c r="B3" s="308"/>
      <c r="C3" s="296"/>
      <c r="D3" s="293"/>
      <c r="E3" s="293"/>
      <c r="F3" s="294"/>
      <c r="G3" s="295"/>
      <c r="H3" s="295"/>
    </row>
    <row r="4" spans="3:8" ht="13.5" customHeight="1">
      <c r="C4" s="294"/>
      <c r="D4" s="292"/>
      <c r="E4" s="293"/>
      <c r="G4" s="294"/>
      <c r="H4" s="295"/>
    </row>
    <row r="5" spans="1:8" ht="14.25">
      <c r="A5" s="455" t="s">
        <v>125</v>
      </c>
      <c r="C5" s="294"/>
      <c r="D5" s="292"/>
      <c r="E5" s="293"/>
      <c r="G5" s="294"/>
      <c r="H5" s="295"/>
    </row>
    <row r="6" spans="1:9" s="447" customFormat="1" ht="27.75" customHeight="1">
      <c r="A6" s="586" t="s">
        <v>126</v>
      </c>
      <c r="B6" s="586" t="s">
        <v>128</v>
      </c>
      <c r="C6" s="588" t="s">
        <v>129</v>
      </c>
      <c r="D6" s="589"/>
      <c r="E6" s="590" t="s">
        <v>132</v>
      </c>
      <c r="F6" s="591"/>
      <c r="G6" s="593" t="s">
        <v>135</v>
      </c>
      <c r="H6" s="586" t="s">
        <v>216</v>
      </c>
      <c r="I6" s="586" t="s">
        <v>215</v>
      </c>
    </row>
    <row r="7" spans="1:9" s="446" customFormat="1" ht="28.5" customHeight="1">
      <c r="A7" s="587"/>
      <c r="B7" s="587"/>
      <c r="C7" s="450" t="s">
        <v>130</v>
      </c>
      <c r="D7" s="445" t="s">
        <v>131</v>
      </c>
      <c r="E7" s="450" t="s">
        <v>214</v>
      </c>
      <c r="F7" s="445" t="s">
        <v>133</v>
      </c>
      <c r="G7" s="594"/>
      <c r="H7" s="587"/>
      <c r="I7" s="587"/>
    </row>
    <row r="8" spans="1:9" s="298" customFormat="1" ht="11.25">
      <c r="A8" s="462" t="s">
        <v>75</v>
      </c>
      <c r="B8" s="487">
        <f>B2</f>
        <v>0</v>
      </c>
      <c r="C8" s="478"/>
      <c r="D8" s="481"/>
      <c r="E8" s="528"/>
      <c r="F8" s="484"/>
      <c r="G8" s="297">
        <f>C8*E8</f>
        <v>0</v>
      </c>
      <c r="H8" s="449"/>
      <c r="I8" s="449"/>
    </row>
    <row r="9" spans="1:9" ht="11.25">
      <c r="A9" s="463" t="s">
        <v>40</v>
      </c>
      <c r="B9" s="488"/>
      <c r="C9" s="479"/>
      <c r="D9" s="482"/>
      <c r="E9" s="529"/>
      <c r="F9" s="485"/>
      <c r="G9" s="299">
        <f>C9*E9</f>
        <v>0</v>
      </c>
      <c r="H9" s="448"/>
      <c r="I9" s="448"/>
    </row>
    <row r="10" spans="1:9" ht="11.25">
      <c r="A10" s="463" t="s">
        <v>41</v>
      </c>
      <c r="B10" s="488"/>
      <c r="C10" s="479"/>
      <c r="D10" s="482"/>
      <c r="E10" s="529"/>
      <c r="F10" s="485"/>
      <c r="G10" s="299">
        <f>C10*E10</f>
        <v>0</v>
      </c>
      <c r="H10" s="448"/>
      <c r="I10" s="448"/>
    </row>
    <row r="11" spans="1:9" ht="11.25">
      <c r="A11" s="463" t="s">
        <v>42</v>
      </c>
      <c r="B11" s="488"/>
      <c r="C11" s="479"/>
      <c r="D11" s="482"/>
      <c r="E11" s="529"/>
      <c r="F11" s="485"/>
      <c r="G11" s="299">
        <f>C11*E11</f>
        <v>0</v>
      </c>
      <c r="H11" s="448"/>
      <c r="I11" s="448"/>
    </row>
    <row r="12" spans="1:9" ht="11.25">
      <c r="A12" s="463" t="s">
        <v>43</v>
      </c>
      <c r="B12" s="488"/>
      <c r="C12" s="479"/>
      <c r="D12" s="482"/>
      <c r="E12" s="529"/>
      <c r="F12" s="485"/>
      <c r="G12" s="299">
        <f aca="true" t="shared" si="0" ref="G12:G18">C12*E12</f>
        <v>0</v>
      </c>
      <c r="H12" s="448"/>
      <c r="I12" s="490"/>
    </row>
    <row r="13" spans="1:9" ht="11.25">
      <c r="A13" s="463" t="s">
        <v>44</v>
      </c>
      <c r="B13" s="488"/>
      <c r="C13" s="479"/>
      <c r="D13" s="482"/>
      <c r="E13" s="529"/>
      <c r="F13" s="485"/>
      <c r="G13" s="299">
        <f t="shared" si="0"/>
        <v>0</v>
      </c>
      <c r="H13" s="448"/>
      <c r="I13" s="490"/>
    </row>
    <row r="14" spans="1:9" ht="11.25">
      <c r="A14" s="463" t="s">
        <v>45</v>
      </c>
      <c r="B14" s="488"/>
      <c r="C14" s="479"/>
      <c r="D14" s="482"/>
      <c r="E14" s="529"/>
      <c r="F14" s="485"/>
      <c r="G14" s="299">
        <f t="shared" si="0"/>
        <v>0</v>
      </c>
      <c r="H14" s="448"/>
      <c r="I14" s="490"/>
    </row>
    <row r="15" spans="1:9" ht="11.25">
      <c r="A15" s="463" t="s">
        <v>46</v>
      </c>
      <c r="B15" s="488"/>
      <c r="C15" s="479"/>
      <c r="D15" s="482"/>
      <c r="E15" s="529"/>
      <c r="F15" s="485"/>
      <c r="G15" s="299">
        <f t="shared" si="0"/>
        <v>0</v>
      </c>
      <c r="H15" s="448"/>
      <c r="I15" s="490"/>
    </row>
    <row r="16" spans="1:9" ht="11.25">
      <c r="A16" s="463" t="s">
        <v>47</v>
      </c>
      <c r="B16" s="488"/>
      <c r="C16" s="479"/>
      <c r="D16" s="482"/>
      <c r="E16" s="529"/>
      <c r="F16" s="485"/>
      <c r="G16" s="299">
        <f t="shared" si="0"/>
        <v>0</v>
      </c>
      <c r="H16" s="448"/>
      <c r="I16" s="490"/>
    </row>
    <row r="17" spans="1:9" ht="11.25">
      <c r="A17" s="463" t="s">
        <v>48</v>
      </c>
      <c r="B17" s="488"/>
      <c r="C17" s="479"/>
      <c r="D17" s="482"/>
      <c r="E17" s="529"/>
      <c r="F17" s="485" t="s">
        <v>134</v>
      </c>
      <c r="G17" s="299">
        <f t="shared" si="0"/>
        <v>0</v>
      </c>
      <c r="H17" s="448"/>
      <c r="I17" s="490"/>
    </row>
    <row r="18" spans="1:9" ht="11.25">
      <c r="A18" s="463" t="s">
        <v>49</v>
      </c>
      <c r="B18" s="488"/>
      <c r="C18" s="479"/>
      <c r="D18" s="482"/>
      <c r="E18" s="529"/>
      <c r="F18" s="485"/>
      <c r="G18" s="299">
        <f t="shared" si="0"/>
        <v>0</v>
      </c>
      <c r="H18" s="448"/>
      <c r="I18" s="490"/>
    </row>
    <row r="19" spans="1:9" s="200" customFormat="1" ht="11.25">
      <c r="A19" s="464" t="s">
        <v>86</v>
      </c>
      <c r="B19" s="489"/>
      <c r="C19" s="480">
        <f>Adult_Pop-(SUM(C9:C18))</f>
        <v>0</v>
      </c>
      <c r="D19" s="483"/>
      <c r="E19" s="530" t="str">
        <f>IF(C19&gt;0,G19/C19,"0")</f>
        <v>0</v>
      </c>
      <c r="F19" s="486"/>
      <c r="G19" s="297">
        <f>G8-SUM(G9:G18)</f>
        <v>0</v>
      </c>
      <c r="H19" s="407"/>
      <c r="I19" s="491"/>
    </row>
    <row r="20" spans="3:8" ht="11.25">
      <c r="C20" s="301"/>
      <c r="D20" s="302"/>
      <c r="E20" s="303"/>
      <c r="F20" s="304"/>
      <c r="G20" s="304"/>
      <c r="H20" s="302"/>
    </row>
    <row r="21" spans="1:8" ht="11.25" customHeight="1">
      <c r="A21" s="473" t="s">
        <v>127</v>
      </c>
      <c r="B21" s="474"/>
      <c r="C21" s="475" t="str">
        <f>IF(C19&gt;0,IF(B19="","Please name the remaining region and include in epidemic structure!","OK"),"OK")</f>
        <v>OK</v>
      </c>
      <c r="D21" s="300"/>
      <c r="E21" s="476"/>
      <c r="F21" s="477"/>
      <c r="G21" s="304"/>
      <c r="H21" s="302"/>
    </row>
    <row r="22" spans="3:8" ht="11.25" customHeight="1">
      <c r="C22" s="301"/>
      <c r="D22" s="302"/>
      <c r="E22" s="303"/>
      <c r="F22" s="304"/>
      <c r="G22" s="304"/>
      <c r="H22" s="302"/>
    </row>
    <row r="23" spans="3:8" ht="11.25">
      <c r="C23" s="301"/>
      <c r="D23" s="302"/>
      <c r="E23" s="303"/>
      <c r="F23" s="304"/>
      <c r="G23" s="304"/>
      <c r="H23" s="302"/>
    </row>
    <row r="24" spans="1:8" ht="14.25">
      <c r="A24" s="455" t="s">
        <v>136</v>
      </c>
      <c r="C24" s="301"/>
      <c r="D24" s="302"/>
      <c r="E24" s="303"/>
      <c r="F24" s="304"/>
      <c r="G24" s="304"/>
      <c r="H24" s="302"/>
    </row>
    <row r="25" spans="1:8" ht="29.25" customHeight="1">
      <c r="A25" s="592" t="s">
        <v>137</v>
      </c>
      <c r="B25" s="592"/>
      <c r="C25" s="472" t="s">
        <v>138</v>
      </c>
      <c r="D25" s="303"/>
      <c r="E25" s="304"/>
      <c r="F25" s="304"/>
      <c r="G25" s="302"/>
      <c r="H25" s="295"/>
    </row>
    <row r="26" spans="1:8" ht="11.25">
      <c r="A26" s="219" t="s">
        <v>139</v>
      </c>
      <c r="B26" s="305"/>
      <c r="C26" s="465" t="s">
        <v>143</v>
      </c>
      <c r="D26" s="459"/>
      <c r="E26" s="295"/>
      <c r="G26" s="294"/>
      <c r="H26" s="295"/>
    </row>
    <row r="27" spans="1:8" ht="11.25">
      <c r="A27" s="219" t="s">
        <v>140</v>
      </c>
      <c r="B27" s="305"/>
      <c r="C27" s="465" t="s">
        <v>144</v>
      </c>
      <c r="D27" s="459"/>
      <c r="E27" s="295"/>
      <c r="G27" s="294"/>
      <c r="H27" s="295"/>
    </row>
    <row r="28" spans="1:8" ht="11.25">
      <c r="A28" s="219" t="s">
        <v>302</v>
      </c>
      <c r="B28" s="305"/>
      <c r="C28" s="465" t="s">
        <v>145</v>
      </c>
      <c r="D28" s="459"/>
      <c r="E28" s="295"/>
      <c r="G28" s="294"/>
      <c r="H28" s="295"/>
    </row>
    <row r="29" spans="1:8" ht="11.25">
      <c r="A29" s="468" t="s">
        <v>141</v>
      </c>
      <c r="B29" s="467"/>
      <c r="C29" s="466" t="s">
        <v>146</v>
      </c>
      <c r="D29" s="459"/>
      <c r="E29" s="295"/>
      <c r="G29" s="294"/>
      <c r="H29" s="295"/>
    </row>
    <row r="30" spans="1:6" ht="11.25">
      <c r="A30" s="456"/>
      <c r="C30" s="200"/>
      <c r="D30" s="458"/>
      <c r="E30" s="459"/>
      <c r="F30" s="295"/>
    </row>
    <row r="31" spans="1:5" ht="14.25">
      <c r="A31" s="455" t="s">
        <v>142</v>
      </c>
      <c r="D31" s="295"/>
      <c r="E31" s="295"/>
    </row>
    <row r="32" spans="1:8" ht="27" customHeight="1">
      <c r="A32" s="592" t="s">
        <v>69</v>
      </c>
      <c r="B32" s="592"/>
      <c r="C32" s="472" t="s">
        <v>147</v>
      </c>
      <c r="D32" s="295"/>
      <c r="E32" s="293"/>
      <c r="G32" s="294"/>
      <c r="H32" s="295"/>
    </row>
    <row r="33" spans="1:3" ht="11.25" customHeight="1">
      <c r="A33" s="454" t="s">
        <v>151</v>
      </c>
      <c r="B33" s="469"/>
      <c r="C33" s="471" t="s">
        <v>148</v>
      </c>
    </row>
    <row r="34" spans="1:3" ht="11.25">
      <c r="A34" s="219" t="s">
        <v>152</v>
      </c>
      <c r="B34" s="306"/>
      <c r="C34" s="465" t="s">
        <v>149</v>
      </c>
    </row>
    <row r="35" spans="1:3" ht="11.25">
      <c r="A35" s="468" t="s">
        <v>303</v>
      </c>
      <c r="B35" s="470"/>
      <c r="C35" s="466" t="s">
        <v>150</v>
      </c>
    </row>
    <row r="36" spans="2:3" ht="11.25" customHeight="1">
      <c r="B36" s="457"/>
      <c r="C36" s="200"/>
    </row>
    <row r="37" spans="1:3" ht="14.25">
      <c r="A37" s="455"/>
      <c r="B37" s="457"/>
      <c r="C37" s="200"/>
    </row>
    <row r="38" spans="2:3" ht="11.25">
      <c r="B38" s="457"/>
      <c r="C38" s="200"/>
    </row>
    <row r="39" spans="3:4" ht="11.25">
      <c r="C39" s="200"/>
      <c r="D39" s="453"/>
    </row>
    <row r="49" ht="11.25">
      <c r="D49" s="294" t="s">
        <v>153</v>
      </c>
    </row>
  </sheetData>
  <sheetProtection sheet="1" objects="1" scenarios="1"/>
  <mergeCells count="9">
    <mergeCell ref="A6:A7"/>
    <mergeCell ref="A25:B25"/>
    <mergeCell ref="A32:B32"/>
    <mergeCell ref="G6:G7"/>
    <mergeCell ref="H6:H7"/>
    <mergeCell ref="I6:I7"/>
    <mergeCell ref="B6:B7"/>
    <mergeCell ref="C6:D6"/>
    <mergeCell ref="E6:F6"/>
  </mergeCells>
  <printOptions/>
  <pageMargins left="0.58" right="0.54" top="1" bottom="1" header="0.5" footer="0.5"/>
  <pageSetup fitToHeight="1" fitToWidth="1" horizontalDpi="600" verticalDpi="600" orientation="landscape" paperSize="9" scale="70" r:id="rId1"/>
  <headerFooter alignWithMargins="0">
    <oddHeader>&amp;L&amp;F
&amp;D  &amp;T&amp;C&amp;A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V68"/>
  <sheetViews>
    <sheetView workbookViewId="0" topLeftCell="A1">
      <pane ySplit="6" topLeftCell="BM7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1" max="1" width="42.57421875" style="86" customWidth="1"/>
    <col min="2" max="2" width="14.140625" style="86" customWidth="1"/>
    <col min="3" max="3" width="16.140625" style="86" customWidth="1"/>
    <col min="4" max="4" width="11.140625" style="86" customWidth="1"/>
    <col min="5" max="5" width="10.140625" style="86" customWidth="1"/>
    <col min="6" max="6" width="9.421875" style="86" customWidth="1"/>
    <col min="7" max="7" width="9.7109375" style="86" customWidth="1"/>
    <col min="8" max="8" width="9.421875" style="86" customWidth="1"/>
    <col min="9" max="9" width="9.57421875" style="86" customWidth="1"/>
    <col min="10" max="10" width="10.57421875" style="86" bestFit="1" customWidth="1"/>
    <col min="11" max="11" width="9.140625" style="86" customWidth="1"/>
    <col min="12" max="12" width="10.7109375" style="86" customWidth="1"/>
    <col min="13" max="13" width="10.00390625" style="86" customWidth="1"/>
    <col min="14" max="14" width="8.421875" style="48" customWidth="1"/>
    <col min="15" max="16" width="8.8515625" style="48" customWidth="1"/>
    <col min="17" max="16384" width="9.140625" style="86" customWidth="1"/>
  </cols>
  <sheetData>
    <row r="1" spans="1:7" ht="12.75">
      <c r="A1" s="95" t="s">
        <v>267</v>
      </c>
      <c r="B1" s="402">
        <f>Installation!B8</f>
        <v>0</v>
      </c>
      <c r="C1" s="403"/>
      <c r="D1" s="163"/>
      <c r="E1" s="163"/>
      <c r="F1" s="79"/>
      <c r="G1" s="79"/>
    </row>
    <row r="2" spans="1:7" ht="12.75">
      <c r="A2" s="158" t="s">
        <v>217</v>
      </c>
      <c r="B2" s="145">
        <f>Installation!C8</f>
        <v>0</v>
      </c>
      <c r="C2" s="48"/>
      <c r="D2" s="48"/>
      <c r="E2" s="48"/>
      <c r="F2" s="48"/>
      <c r="G2" s="48"/>
    </row>
    <row r="3" spans="1:2" ht="12.75">
      <c r="A3" s="160" t="s">
        <v>154</v>
      </c>
      <c r="B3" s="317" t="str">
        <f>IF(B2&gt;0,B4/B2,"0%")</f>
        <v>0%</v>
      </c>
    </row>
    <row r="4" spans="1:2" ht="12.75">
      <c r="A4" s="160" t="s">
        <v>155</v>
      </c>
      <c r="B4" s="145">
        <f>SUM(Installation!G9:G19)</f>
        <v>0</v>
      </c>
    </row>
    <row r="5" spans="1:7" ht="12.75">
      <c r="A5" s="161" t="s">
        <v>79</v>
      </c>
      <c r="B5" s="201">
        <f>Installation!B3</f>
        <v>0</v>
      </c>
      <c r="G5" s="89"/>
    </row>
    <row r="7" spans="1:13" s="18" customFormat="1" ht="12.75" customHeight="1">
      <c r="A7" s="146" t="s">
        <v>298</v>
      </c>
      <c r="B7" s="11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94"/>
    </row>
    <row r="8" spans="1:16" s="33" customFormat="1" ht="22.5" customHeight="1">
      <c r="A8" s="600" t="s">
        <v>156</v>
      </c>
      <c r="B8" s="597" t="s">
        <v>256</v>
      </c>
      <c r="C8" s="599"/>
      <c r="D8" s="597" t="s">
        <v>257</v>
      </c>
      <c r="E8" s="599"/>
      <c r="F8" s="597" t="s">
        <v>260</v>
      </c>
      <c r="G8" s="598"/>
      <c r="H8" s="598"/>
      <c r="I8" s="599"/>
      <c r="J8" s="600" t="s">
        <v>199</v>
      </c>
      <c r="K8" s="597" t="s">
        <v>220</v>
      </c>
      <c r="L8" s="598"/>
      <c r="M8" s="599"/>
      <c r="P8" s="18"/>
    </row>
    <row r="9" spans="1:16" s="33" customFormat="1" ht="49.5" customHeight="1">
      <c r="A9" s="601"/>
      <c r="B9" s="15" t="s">
        <v>259</v>
      </c>
      <c r="C9" s="15" t="s">
        <v>258</v>
      </c>
      <c r="D9" s="15" t="s">
        <v>172</v>
      </c>
      <c r="E9" s="15" t="s">
        <v>179</v>
      </c>
      <c r="F9" s="15" t="s">
        <v>183</v>
      </c>
      <c r="G9" s="15" t="s">
        <v>195</v>
      </c>
      <c r="H9" s="15" t="s">
        <v>196</v>
      </c>
      <c r="I9" s="15" t="s">
        <v>197</v>
      </c>
      <c r="J9" s="601"/>
      <c r="K9" s="16" t="s">
        <v>203</v>
      </c>
      <c r="L9" s="16" t="s">
        <v>201</v>
      </c>
      <c r="M9" s="16" t="s">
        <v>202</v>
      </c>
      <c r="P9" s="19"/>
    </row>
    <row r="10" spans="1:16" ht="10.5" customHeight="1">
      <c r="A10" s="118" t="str">
        <f>Installation!A26</f>
        <v>CDI</v>
      </c>
      <c r="B10" s="534">
        <f>SUM('R0:R10'!B10)</f>
        <v>0</v>
      </c>
      <c r="C10" s="534">
        <f>SUM('R0:R10'!C10)</f>
        <v>0</v>
      </c>
      <c r="D10" s="42" t="str">
        <f>IF(SUM(B10:C10)&gt;0,(F10+H10)/($B10+$C10),"0")</f>
        <v>0</v>
      </c>
      <c r="E10" s="42" t="str">
        <f>IF(SUM(C10:D10)&gt;0,(G10+I10)/($B10+$C10),"0")</f>
        <v>0</v>
      </c>
      <c r="F10" s="534">
        <f>SUM('R0:R10'!F10)</f>
        <v>0</v>
      </c>
      <c r="G10" s="534">
        <f>SUM('R0:R10'!G10)</f>
        <v>0</v>
      </c>
      <c r="H10" s="534">
        <f>SUM('R0:R10'!H10)</f>
        <v>0</v>
      </c>
      <c r="I10" s="534">
        <f>SUM('R0:R10'!I10)</f>
        <v>0</v>
      </c>
      <c r="J10" s="142">
        <f>AVERAGE(F10:I10)</f>
        <v>0</v>
      </c>
      <c r="K10" s="21" t="str">
        <f aca="true" t="shared" si="0" ref="K10:K17">IF(L10&gt;0,L10/J10,"0")</f>
        <v>0</v>
      </c>
      <c r="L10" s="534">
        <f>SUM('R0:R10'!L10)</f>
        <v>0</v>
      </c>
      <c r="M10" s="18"/>
      <c r="N10" s="198"/>
      <c r="O10" s="69"/>
      <c r="P10" s="199"/>
    </row>
    <row r="11" spans="1:15" ht="10.5" customHeight="1">
      <c r="A11" s="118" t="str">
        <f>Installation!A27</f>
        <v>HSH</v>
      </c>
      <c r="B11" s="534">
        <f>SUM('R0:R10'!B11)</f>
        <v>0</v>
      </c>
      <c r="C11" s="534">
        <f>SUM('R0:R10'!C11)</f>
        <v>0</v>
      </c>
      <c r="D11" s="42" t="str">
        <f>IF(SUM(B11:C11)&gt;0,(F11+H11)/($B11+$C11),"0")</f>
        <v>0</v>
      </c>
      <c r="E11" s="42" t="str">
        <f aca="true" t="shared" si="1" ref="E11:E17">IF(SUM(C11:D11)&gt;0,(G11+I11)/($B11+$C11),"0")</f>
        <v>0</v>
      </c>
      <c r="F11" s="534">
        <f>SUM('R0:R10'!F11)</f>
        <v>0</v>
      </c>
      <c r="G11" s="534">
        <f>SUM('R0:R10'!G11)</f>
        <v>0</v>
      </c>
      <c r="H11" s="534">
        <f>SUM('R0:R10'!H11)</f>
        <v>0</v>
      </c>
      <c r="I11" s="534">
        <f>SUM('R0:R10'!I11)</f>
        <v>0</v>
      </c>
      <c r="J11" s="142">
        <f aca="true" t="shared" si="2" ref="J11:J17">AVERAGE(F11:I11)</f>
        <v>0</v>
      </c>
      <c r="K11" s="21" t="str">
        <f t="shared" si="0"/>
        <v>0</v>
      </c>
      <c r="L11" s="534">
        <f>SUM('R0:R10'!L11)</f>
        <v>0</v>
      </c>
      <c r="M11" s="18"/>
      <c r="N11" s="198"/>
      <c r="O11" s="69"/>
    </row>
    <row r="12" spans="1:15" ht="10.5" customHeight="1">
      <c r="A12" s="118" t="str">
        <f>Installation!A28</f>
        <v>Professionnelles du sexe (PS)</v>
      </c>
      <c r="B12" s="534">
        <f>SUM('R0:R10'!B12)</f>
        <v>0</v>
      </c>
      <c r="C12" s="534">
        <f>SUM('R0:R10'!C12)</f>
        <v>0</v>
      </c>
      <c r="D12" s="42" t="str">
        <f aca="true" t="shared" si="3" ref="D12:D17">IF(SUM(B12:C12)&gt;0,(F12+H12)/($B12+$C12),"0")</f>
        <v>0</v>
      </c>
      <c r="E12" s="42" t="str">
        <f t="shared" si="1"/>
        <v>0</v>
      </c>
      <c r="F12" s="534">
        <f>SUM('R0:R10'!F12)</f>
        <v>0</v>
      </c>
      <c r="G12" s="534">
        <f>SUM('R0:R10'!G12)</f>
        <v>0</v>
      </c>
      <c r="H12" s="534">
        <f>SUM('R0:R10'!H12)</f>
        <v>0</v>
      </c>
      <c r="I12" s="534">
        <f>SUM('R0:R10'!I12)</f>
        <v>0</v>
      </c>
      <c r="J12" s="142">
        <f t="shared" si="2"/>
        <v>0</v>
      </c>
      <c r="K12" s="21" t="str">
        <f t="shared" si="0"/>
        <v>0</v>
      </c>
      <c r="L12" s="534">
        <f>SUM('R0:R10'!L12)</f>
        <v>0</v>
      </c>
      <c r="M12" s="18"/>
      <c r="N12" s="198"/>
      <c r="O12" s="69"/>
    </row>
    <row r="13" spans="1:15" ht="10.5" customHeight="1">
      <c r="A13" s="118" t="str">
        <f>Installation!A29</f>
        <v>Clients des professionnelles du sexe</v>
      </c>
      <c r="B13" s="534">
        <f>SUM('R0:R10'!B13)</f>
        <v>0</v>
      </c>
      <c r="C13" s="534">
        <f>SUM('R0:R10'!C13)</f>
        <v>0</v>
      </c>
      <c r="D13" s="42" t="str">
        <f>IF(SUM(B13:C13)&gt;0,(F13+H13)/($B13+$C13),"0")</f>
        <v>0</v>
      </c>
      <c r="E13" s="42" t="str">
        <f t="shared" si="1"/>
        <v>0</v>
      </c>
      <c r="F13" s="534">
        <f>SUM('R0:R10'!F13)</f>
        <v>0</v>
      </c>
      <c r="G13" s="534">
        <f>SUM('R0:R10'!G13)</f>
        <v>0</v>
      </c>
      <c r="H13" s="534">
        <f>SUM('R0:R10'!H13)</f>
        <v>0</v>
      </c>
      <c r="I13" s="534">
        <f>SUM('R0:R10'!I13)</f>
        <v>0</v>
      </c>
      <c r="J13" s="142">
        <f t="shared" si="2"/>
        <v>0</v>
      </c>
      <c r="K13" s="21" t="str">
        <f t="shared" si="0"/>
        <v>0</v>
      </c>
      <c r="L13" s="534">
        <f>SUM('R0:R10'!L13)</f>
        <v>0</v>
      </c>
      <c r="M13" s="18"/>
      <c r="N13" s="198"/>
      <c r="O13" s="69"/>
    </row>
    <row r="14" spans="1:15" ht="10.5" customHeight="1">
      <c r="A14" s="118" t="str">
        <f>Installation!C26</f>
        <v>Facultatif HR1</v>
      </c>
      <c r="B14" s="534">
        <f>SUM('R0:R10'!B14)</f>
        <v>0</v>
      </c>
      <c r="C14" s="534">
        <f>SUM('R0:R10'!C14)</f>
        <v>0</v>
      </c>
      <c r="D14" s="42" t="str">
        <f t="shared" si="3"/>
        <v>0</v>
      </c>
      <c r="E14" s="42" t="str">
        <f t="shared" si="1"/>
        <v>0</v>
      </c>
      <c r="F14" s="534">
        <f>SUM('R0:R10'!F14)</f>
        <v>0</v>
      </c>
      <c r="G14" s="534">
        <f>SUM('R0:R10'!G14)</f>
        <v>0</v>
      </c>
      <c r="H14" s="534">
        <f>SUM('R0:R10'!H14)</f>
        <v>0</v>
      </c>
      <c r="I14" s="534">
        <f>SUM('R0:R10'!I14)</f>
        <v>0</v>
      </c>
      <c r="J14" s="142">
        <f t="shared" si="2"/>
        <v>0</v>
      </c>
      <c r="K14" s="21" t="str">
        <f t="shared" si="0"/>
        <v>0</v>
      </c>
      <c r="L14" s="534">
        <f>SUM('R0:R10'!L14)</f>
        <v>0</v>
      </c>
      <c r="M14" s="18"/>
      <c r="N14" s="198"/>
      <c r="O14" s="69"/>
    </row>
    <row r="15" spans="1:15" ht="10.5" customHeight="1">
      <c r="A15" s="118" t="str">
        <f>Installation!C27</f>
        <v>Facultatif HR2</v>
      </c>
      <c r="B15" s="534">
        <f>SUM('R0:R10'!B15)</f>
        <v>0</v>
      </c>
      <c r="C15" s="534">
        <f>SUM('R0:R10'!C15)</f>
        <v>0</v>
      </c>
      <c r="D15" s="42" t="str">
        <f t="shared" si="3"/>
        <v>0</v>
      </c>
      <c r="E15" s="42" t="str">
        <f t="shared" si="1"/>
        <v>0</v>
      </c>
      <c r="F15" s="534">
        <f>SUM('R0:R10'!F15)</f>
        <v>0</v>
      </c>
      <c r="G15" s="534">
        <f>SUM('R0:R10'!G15)</f>
        <v>0</v>
      </c>
      <c r="H15" s="534">
        <f>SUM('R0:R10'!H15)</f>
        <v>0</v>
      </c>
      <c r="I15" s="534">
        <f>SUM('R0:R10'!I15)</f>
        <v>0</v>
      </c>
      <c r="J15" s="142">
        <f t="shared" si="2"/>
        <v>0</v>
      </c>
      <c r="K15" s="21" t="str">
        <f t="shared" si="0"/>
        <v>0</v>
      </c>
      <c r="L15" s="534">
        <f>SUM('R0:R10'!L15)</f>
        <v>0</v>
      </c>
      <c r="M15" s="18"/>
      <c r="N15" s="200"/>
      <c r="O15" s="69"/>
    </row>
    <row r="16" spans="1:15" ht="10.5" customHeight="1">
      <c r="A16" s="118" t="str">
        <f>Installation!C28</f>
        <v>Facultatif HR3</v>
      </c>
      <c r="B16" s="534">
        <f>SUM('R0:R10'!B16)</f>
        <v>0</v>
      </c>
      <c r="C16" s="534">
        <f>SUM('R0:R10'!C16)</f>
        <v>0</v>
      </c>
      <c r="D16" s="42" t="str">
        <f t="shared" si="3"/>
        <v>0</v>
      </c>
      <c r="E16" s="42" t="str">
        <f t="shared" si="1"/>
        <v>0</v>
      </c>
      <c r="F16" s="534">
        <f>SUM('R0:R10'!F16)</f>
        <v>0</v>
      </c>
      <c r="G16" s="534">
        <f>SUM('R0:R10'!G16)</f>
        <v>0</v>
      </c>
      <c r="H16" s="534">
        <f>SUM('R0:R10'!H16)</f>
        <v>0</v>
      </c>
      <c r="I16" s="534">
        <f>SUM('R0:R10'!I16)</f>
        <v>0</v>
      </c>
      <c r="J16" s="142">
        <f t="shared" si="2"/>
        <v>0</v>
      </c>
      <c r="K16" s="21" t="str">
        <f t="shared" si="0"/>
        <v>0</v>
      </c>
      <c r="L16" s="534">
        <f>SUM('R0:R10'!L16)</f>
        <v>0</v>
      </c>
      <c r="M16" s="18"/>
      <c r="N16" s="200"/>
      <c r="O16" s="69"/>
    </row>
    <row r="17" spans="1:48" ht="12.75" customHeight="1" thickBot="1">
      <c r="A17" s="118" t="str">
        <f>Installation!C29</f>
        <v>Facultatif HR4</v>
      </c>
      <c r="B17" s="535">
        <f>SUM('R0:R10'!B17)</f>
        <v>0</v>
      </c>
      <c r="C17" s="535">
        <f>SUM('R0:R10'!C17)</f>
        <v>0</v>
      </c>
      <c r="D17" s="96" t="str">
        <f t="shared" si="3"/>
        <v>0</v>
      </c>
      <c r="E17" s="96" t="str">
        <f t="shared" si="1"/>
        <v>0</v>
      </c>
      <c r="F17" s="535">
        <f>SUM('R0:R10'!F17)</f>
        <v>0</v>
      </c>
      <c r="G17" s="535">
        <f>SUM('R0:R10'!G17)</f>
        <v>0</v>
      </c>
      <c r="H17" s="535">
        <f>SUM('R0:R10'!H17)</f>
        <v>0</v>
      </c>
      <c r="I17" s="535">
        <f>SUM('R0:R10'!I17)</f>
        <v>0</v>
      </c>
      <c r="J17" s="143">
        <f t="shared" si="2"/>
        <v>0</v>
      </c>
      <c r="K17" s="97" t="str">
        <f t="shared" si="0"/>
        <v>0</v>
      </c>
      <c r="L17" s="535">
        <f>SUM('R0:R10'!L17)</f>
        <v>0</v>
      </c>
      <c r="M17" s="5"/>
      <c r="N17" s="198"/>
      <c r="O17" s="69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413" customFormat="1" ht="11.25" thickBot="1">
      <c r="A18" s="173" t="s">
        <v>300</v>
      </c>
      <c r="B18" s="408" t="str">
        <f>IF(SUM(B10:B17)&gt;0,SUM(B10:B17),"0")</f>
        <v>0</v>
      </c>
      <c r="C18" s="408" t="str">
        <f>IF(SUM(C10:C17)&gt;0,SUM(C10:C17),"0")</f>
        <v>0</v>
      </c>
      <c r="D18" s="181"/>
      <c r="E18" s="181"/>
      <c r="F18" s="409"/>
      <c r="G18" s="409"/>
      <c r="H18" s="409"/>
      <c r="I18" s="409"/>
      <c r="J18" s="410">
        <f>SUM(J10:J17)</f>
        <v>0</v>
      </c>
      <c r="K18" s="411"/>
      <c r="L18" s="408" t="str">
        <f>IF(SUM(L10:L17)&gt;0,SUM(L10:L17),"0")</f>
        <v>0</v>
      </c>
      <c r="M18" s="412" t="str">
        <f>IF(L18&lt;&gt;"0",L18/J18,"0")</f>
        <v>0</v>
      </c>
      <c r="N18" s="45"/>
      <c r="O18" s="18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s="89" customFormat="1" ht="12.75">
      <c r="A19" s="88"/>
      <c r="B19" s="12"/>
      <c r="C19" s="12"/>
      <c r="D19" s="25"/>
      <c r="E19" s="25"/>
      <c r="F19" s="1"/>
      <c r="G19" s="1"/>
      <c r="H19" s="1"/>
      <c r="I19" s="1"/>
      <c r="J19" s="85"/>
      <c r="K19" s="24"/>
      <c r="L19" s="1"/>
      <c r="M19" s="31"/>
      <c r="N19" s="198"/>
      <c r="O19" s="6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</row>
    <row r="20" spans="1:13" s="18" customFormat="1" ht="12.75" customHeight="1">
      <c r="A20" s="146" t="s">
        <v>299</v>
      </c>
      <c r="B20" s="111"/>
      <c r="C20" s="112"/>
      <c r="D20" s="113"/>
      <c r="E20" s="113"/>
      <c r="F20" s="113"/>
      <c r="G20" s="113"/>
      <c r="H20" s="113"/>
      <c r="I20" s="113"/>
      <c r="J20" s="151"/>
      <c r="K20" s="151"/>
      <c r="L20" s="113"/>
      <c r="M20" s="194"/>
    </row>
    <row r="21" spans="1:48" s="114" customFormat="1" ht="24" customHeight="1">
      <c r="A21" s="600" t="s">
        <v>177</v>
      </c>
      <c r="B21" s="597" t="s">
        <v>256</v>
      </c>
      <c r="C21" s="599"/>
      <c r="D21" s="597" t="s">
        <v>257</v>
      </c>
      <c r="E21" s="599"/>
      <c r="F21" s="597" t="s">
        <v>260</v>
      </c>
      <c r="G21" s="598"/>
      <c r="H21" s="598"/>
      <c r="I21" s="599"/>
      <c r="J21" s="600" t="s">
        <v>199</v>
      </c>
      <c r="K21" s="603" t="s">
        <v>220</v>
      </c>
      <c r="L21" s="603"/>
      <c r="M21" s="603"/>
      <c r="N21" s="18"/>
      <c r="O21" s="18"/>
      <c r="P21" s="18"/>
      <c r="Q21" s="18"/>
      <c r="R21" s="18"/>
      <c r="S21" s="18"/>
      <c r="T21" s="18"/>
      <c r="U21" s="19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s="114" customFormat="1" ht="48.75" customHeight="1">
      <c r="A22" s="601"/>
      <c r="B22" s="15" t="s">
        <v>259</v>
      </c>
      <c r="C22" s="15" t="s">
        <v>258</v>
      </c>
      <c r="D22" s="15" t="s">
        <v>172</v>
      </c>
      <c r="E22" s="15" t="s">
        <v>179</v>
      </c>
      <c r="F22" s="15" t="s">
        <v>183</v>
      </c>
      <c r="G22" s="15" t="s">
        <v>195</v>
      </c>
      <c r="H22" s="15" t="s">
        <v>196</v>
      </c>
      <c r="I22" s="15" t="s">
        <v>197</v>
      </c>
      <c r="J22" s="601"/>
      <c r="K22" s="16" t="s">
        <v>203</v>
      </c>
      <c r="L22" s="16" t="s">
        <v>201</v>
      </c>
      <c r="M22" s="16" t="s">
        <v>202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89" customFormat="1" ht="11.25" customHeight="1">
      <c r="A23" s="118" t="str">
        <f>Installation!A33</f>
        <v>Partenaires CDI</v>
      </c>
      <c r="B23" s="534">
        <f>SUM('R0:R10'!B59)</f>
        <v>0</v>
      </c>
      <c r="C23" s="534">
        <f>SUM('R0:R10'!C59)</f>
        <v>0</v>
      </c>
      <c r="D23" s="42" t="str">
        <f aca="true" t="shared" si="4" ref="D23:D28">IF(SUM(B23:C23)&gt;0,(F23+H23)/($B23+$C23),"0")</f>
        <v>0</v>
      </c>
      <c r="E23" s="42" t="str">
        <f aca="true" t="shared" si="5" ref="E23:E28">IF(SUM(B23:C23)&gt;0,(G23+I23)/($B23+$C23),"0")</f>
        <v>0</v>
      </c>
      <c r="F23" s="534">
        <f>SUM('R0:R10'!F59)</f>
        <v>0</v>
      </c>
      <c r="G23" s="534">
        <f>SUM('R0:R10'!G59)</f>
        <v>0</v>
      </c>
      <c r="H23" s="534">
        <f>SUM('R0:R10'!H59)</f>
        <v>0</v>
      </c>
      <c r="I23" s="534">
        <f>SUM('R0:R10'!I59)</f>
        <v>0</v>
      </c>
      <c r="J23" s="7">
        <f aca="true" t="shared" si="6" ref="J23:J28">AVERAGE(F23:I23)</f>
        <v>0</v>
      </c>
      <c r="K23" s="21" t="str">
        <f aca="true" t="shared" si="7" ref="K23:K28">IF(L23&gt;0,L23/J23,"0")</f>
        <v>0</v>
      </c>
      <c r="L23" s="534">
        <f>SUM('R0:R10'!L59)</f>
        <v>0</v>
      </c>
      <c r="M23" s="18"/>
      <c r="N23" s="91"/>
      <c r="O23" s="92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</row>
    <row r="24" spans="1:16" s="89" customFormat="1" ht="11.25" customHeight="1">
      <c r="A24" s="118" t="str">
        <f>Installation!A34</f>
        <v>Partenaires sexuelles HSH</v>
      </c>
      <c r="B24" s="534">
        <f>SUM('R0:R10'!B60)</f>
        <v>0</v>
      </c>
      <c r="C24" s="534">
        <f>SUM('R0:R10'!C60)</f>
        <v>0</v>
      </c>
      <c r="D24" s="42" t="str">
        <f t="shared" si="4"/>
        <v>0</v>
      </c>
      <c r="E24" s="42" t="str">
        <f t="shared" si="5"/>
        <v>0</v>
      </c>
      <c r="F24" s="534">
        <f>SUM('R0:R10'!F60)</f>
        <v>0</v>
      </c>
      <c r="G24" s="534">
        <f>SUM('R0:R10'!G60)</f>
        <v>0</v>
      </c>
      <c r="H24" s="534">
        <f>SUM('R0:R10'!H60)</f>
        <v>0</v>
      </c>
      <c r="I24" s="534">
        <f>SUM('R0:R10'!I60)</f>
        <v>0</v>
      </c>
      <c r="J24" s="7">
        <f t="shared" si="6"/>
        <v>0</v>
      </c>
      <c r="K24" s="21" t="str">
        <f t="shared" si="7"/>
        <v>0</v>
      </c>
      <c r="L24" s="534">
        <f>SUM('R0:R10'!L60)</f>
        <v>0</v>
      </c>
      <c r="M24" s="18"/>
      <c r="N24" s="91"/>
      <c r="O24" s="92"/>
      <c r="P24" s="79"/>
    </row>
    <row r="25" spans="1:16" s="89" customFormat="1" ht="11.25" customHeight="1">
      <c r="A25" s="118" t="str">
        <f>Installation!A35</f>
        <v>Partenaires sexuelles de clients des PS</v>
      </c>
      <c r="B25" s="534">
        <f>SUM('R0:R10'!B61)</f>
        <v>0</v>
      </c>
      <c r="C25" s="534">
        <f>SUM('R0:R10'!C61)</f>
        <v>0</v>
      </c>
      <c r="D25" s="42" t="str">
        <f t="shared" si="4"/>
        <v>0</v>
      </c>
      <c r="E25" s="42" t="str">
        <f t="shared" si="5"/>
        <v>0</v>
      </c>
      <c r="F25" s="534">
        <f>SUM('R0:R10'!F61)</f>
        <v>0</v>
      </c>
      <c r="G25" s="534">
        <f>SUM('R0:R10'!G61)</f>
        <v>0</v>
      </c>
      <c r="H25" s="534">
        <f>SUM('R0:R10'!H61)</f>
        <v>0</v>
      </c>
      <c r="I25" s="534">
        <f>SUM('R0:R10'!I61)</f>
        <v>0</v>
      </c>
      <c r="J25" s="7">
        <f t="shared" si="6"/>
        <v>0</v>
      </c>
      <c r="K25" s="21" t="str">
        <f>IF(L25&gt;0,L25/J25,"0")</f>
        <v>0</v>
      </c>
      <c r="L25" s="534">
        <f>SUM('R0:R10'!L61)</f>
        <v>0</v>
      </c>
      <c r="M25" s="18"/>
      <c r="N25" s="91"/>
      <c r="O25" s="92"/>
      <c r="P25" s="79"/>
    </row>
    <row r="26" spans="1:16" s="89" customFormat="1" ht="11.25" customHeight="1">
      <c r="A26" s="118" t="str">
        <f>Installation!C33</f>
        <v>Facultatif LR1</v>
      </c>
      <c r="B26" s="534">
        <f>SUM('R0:R10'!B62)</f>
        <v>0</v>
      </c>
      <c r="C26" s="534">
        <f>SUM('R0:R10'!C62)</f>
        <v>0</v>
      </c>
      <c r="D26" s="42" t="str">
        <f t="shared" si="4"/>
        <v>0</v>
      </c>
      <c r="E26" s="42" t="str">
        <f t="shared" si="5"/>
        <v>0</v>
      </c>
      <c r="F26" s="534">
        <f>SUM('R0:R10'!F62)</f>
        <v>0</v>
      </c>
      <c r="G26" s="534">
        <f>SUM('R0:R10'!G62)</f>
        <v>0</v>
      </c>
      <c r="H26" s="534">
        <f>SUM('R0:R10'!H62)</f>
        <v>0</v>
      </c>
      <c r="I26" s="534">
        <f>SUM('R0:R10'!I62)</f>
        <v>0</v>
      </c>
      <c r="J26" s="7">
        <f t="shared" si="6"/>
        <v>0</v>
      </c>
      <c r="K26" s="21" t="str">
        <f t="shared" si="7"/>
        <v>0</v>
      </c>
      <c r="L26" s="534">
        <f>SUM('R0:R10'!L62)</f>
        <v>0</v>
      </c>
      <c r="M26" s="18"/>
      <c r="N26" s="91"/>
      <c r="O26" s="92"/>
      <c r="P26" s="79"/>
    </row>
    <row r="27" spans="1:16" s="89" customFormat="1" ht="11.25" customHeight="1">
      <c r="A27" s="118" t="str">
        <f>Installation!C34</f>
        <v>Facultatif LR2</v>
      </c>
      <c r="B27" s="534">
        <f>SUM('R0:R10'!B63)</f>
        <v>0</v>
      </c>
      <c r="C27" s="534">
        <f>SUM('R0:R10'!C63)</f>
        <v>0</v>
      </c>
      <c r="D27" s="42" t="str">
        <f t="shared" si="4"/>
        <v>0</v>
      </c>
      <c r="E27" s="42" t="str">
        <f t="shared" si="5"/>
        <v>0</v>
      </c>
      <c r="F27" s="534">
        <f>SUM('R0:R10'!F63)</f>
        <v>0</v>
      </c>
      <c r="G27" s="534">
        <f>SUM('R0:R10'!G63)</f>
        <v>0</v>
      </c>
      <c r="H27" s="534">
        <f>SUM('R0:R10'!H63)</f>
        <v>0</v>
      </c>
      <c r="I27" s="534">
        <f>SUM('R0:R10'!I63)</f>
        <v>0</v>
      </c>
      <c r="J27" s="7">
        <f t="shared" si="6"/>
        <v>0</v>
      </c>
      <c r="K27" s="21" t="str">
        <f t="shared" si="7"/>
        <v>0</v>
      </c>
      <c r="L27" s="534">
        <f>SUM('R0:R10'!L63)</f>
        <v>0</v>
      </c>
      <c r="M27" s="18"/>
      <c r="N27" s="91"/>
      <c r="O27" s="92"/>
      <c r="P27" s="79"/>
    </row>
    <row r="28" spans="1:16" s="89" customFormat="1" ht="11.25" customHeight="1">
      <c r="A28" s="118" t="str">
        <f>Installation!C35</f>
        <v>Facultatif LR3</v>
      </c>
      <c r="B28" s="534">
        <f>SUM('R0:R10'!B64)</f>
        <v>0</v>
      </c>
      <c r="C28" s="534">
        <f>SUM('R0:R10'!C64)</f>
        <v>0</v>
      </c>
      <c r="D28" s="42" t="str">
        <f t="shared" si="4"/>
        <v>0</v>
      </c>
      <c r="E28" s="42" t="str">
        <f t="shared" si="5"/>
        <v>0</v>
      </c>
      <c r="F28" s="534">
        <f>SUM('R0:R10'!F64)</f>
        <v>0</v>
      </c>
      <c r="G28" s="534">
        <f>SUM('R0:R10'!G64)</f>
        <v>0</v>
      </c>
      <c r="H28" s="534">
        <f>SUM('R0:R10'!H64)</f>
        <v>0</v>
      </c>
      <c r="I28" s="534">
        <f>SUM('R0:R10'!I64)</f>
        <v>0</v>
      </c>
      <c r="J28" s="7">
        <f t="shared" si="6"/>
        <v>0</v>
      </c>
      <c r="K28" s="21" t="str">
        <f t="shared" si="7"/>
        <v>0</v>
      </c>
      <c r="L28" s="534">
        <f>SUM('R0:R10'!L64)</f>
        <v>0</v>
      </c>
      <c r="M28" s="18"/>
      <c r="N28" s="91"/>
      <c r="O28" s="92"/>
      <c r="P28" s="79"/>
    </row>
    <row r="29" spans="1:15" s="79" customFormat="1" ht="12.75">
      <c r="A29" s="104" t="s">
        <v>268</v>
      </c>
      <c r="B29" s="84">
        <f>SUM(B23:B28)</f>
        <v>0</v>
      </c>
      <c r="C29" s="84">
        <f>SUM(C23:C28)</f>
        <v>0</v>
      </c>
      <c r="D29" s="23"/>
      <c r="E29" s="23"/>
      <c r="F29" s="27"/>
      <c r="G29" s="27"/>
      <c r="H29" s="27"/>
      <c r="I29" s="27"/>
      <c r="J29" s="84">
        <f>SUM(J23:J28)</f>
        <v>0</v>
      </c>
      <c r="K29" s="28"/>
      <c r="L29" s="164" t="str">
        <f>IF(SUM(L23:L28)&gt;0,SUM(L23:L28),"0")</f>
        <v>0</v>
      </c>
      <c r="M29" s="195" t="e">
        <f>IF(L29&gt;0,L29/J29,"0")</f>
        <v>#DIV/0!</v>
      </c>
      <c r="N29" s="91"/>
      <c r="O29" s="92"/>
    </row>
    <row r="30" spans="1:13" s="18" customFormat="1" ht="21" customHeight="1">
      <c r="A30" s="600" t="s">
        <v>271</v>
      </c>
      <c r="B30" s="597" t="s">
        <v>256</v>
      </c>
      <c r="C30" s="599"/>
      <c r="D30" s="597" t="s">
        <v>257</v>
      </c>
      <c r="E30" s="599"/>
      <c r="F30" s="597" t="s">
        <v>260</v>
      </c>
      <c r="G30" s="598"/>
      <c r="H30" s="598"/>
      <c r="I30" s="599"/>
      <c r="J30" s="600" t="s">
        <v>199</v>
      </c>
      <c r="K30" s="597" t="s">
        <v>220</v>
      </c>
      <c r="L30" s="598"/>
      <c r="M30" s="599"/>
    </row>
    <row r="31" spans="1:16" s="33" customFormat="1" ht="42">
      <c r="A31" s="604"/>
      <c r="B31" s="15" t="s">
        <v>259</v>
      </c>
      <c r="C31" s="15" t="s">
        <v>258</v>
      </c>
      <c r="D31" s="15" t="s">
        <v>172</v>
      </c>
      <c r="E31" s="15" t="s">
        <v>179</v>
      </c>
      <c r="F31" s="15" t="s">
        <v>183</v>
      </c>
      <c r="G31" s="15" t="s">
        <v>195</v>
      </c>
      <c r="H31" s="15" t="s">
        <v>196</v>
      </c>
      <c r="I31" s="15" t="s">
        <v>197</v>
      </c>
      <c r="J31" s="601"/>
      <c r="K31" s="16" t="s">
        <v>203</v>
      </c>
      <c r="L31" s="16" t="s">
        <v>201</v>
      </c>
      <c r="M31" s="16" t="s">
        <v>202</v>
      </c>
      <c r="P31" s="18"/>
    </row>
    <row r="32" spans="1:15" s="79" customFormat="1" ht="11.25" customHeight="1">
      <c r="A32" s="105" t="s">
        <v>158</v>
      </c>
      <c r="B32" s="534">
        <f>SUM('R0:R10'!B69)</f>
        <v>0</v>
      </c>
      <c r="C32" s="534">
        <f>SUM('R0:R10'!C69)</f>
        <v>0</v>
      </c>
      <c r="D32" s="20">
        <f>IF(SUM(B32:C32)&gt;0,(F32+H32)/($B32+$C32),"")</f>
      </c>
      <c r="E32" s="20">
        <f>IF(SUM(C32:D32)&gt;0,(G32+I32)/($B32+$C32),"")</f>
      </c>
      <c r="F32" s="534">
        <f>SUM('R0:R10'!F69)</f>
        <v>0</v>
      </c>
      <c r="G32" s="534">
        <f>SUM('R0:R10'!G69)</f>
        <v>0</v>
      </c>
      <c r="H32" s="534">
        <f>SUM('R0:R10'!H69)</f>
        <v>0</v>
      </c>
      <c r="I32" s="534">
        <f>SUM('R0:R10'!I69)</f>
        <v>0</v>
      </c>
      <c r="J32" s="7">
        <f>AVERAGE(F32:I32)</f>
        <v>0</v>
      </c>
      <c r="K32" s="35"/>
      <c r="L32" s="11"/>
      <c r="M32" s="37"/>
      <c r="N32" s="91"/>
      <c r="O32" s="92"/>
    </row>
    <row r="33" spans="1:16" s="89" customFormat="1" ht="11.25" customHeight="1">
      <c r="A33" s="105" t="s">
        <v>159</v>
      </c>
      <c r="B33" s="534">
        <f>SUM('R0:R10'!B70)</f>
        <v>0</v>
      </c>
      <c r="C33" s="534">
        <f>SUM('R0:R10'!C70)</f>
        <v>0</v>
      </c>
      <c r="D33" s="20">
        <f>IF(SUM(B33:C33)&gt;0,(F33+H33)/($B33+$C33),"")</f>
      </c>
      <c r="E33" s="20">
        <f>IF(SUM(C33:D33)&gt;0,(G33+I33)/($B33+$C33),"")</f>
      </c>
      <c r="F33" s="534">
        <f>SUM('R0:R10'!F70)</f>
        <v>0</v>
      </c>
      <c r="G33" s="534">
        <f>SUM('R0:R10'!G70)</f>
        <v>0</v>
      </c>
      <c r="H33" s="534">
        <f>SUM('R0:R10'!H70)</f>
        <v>0</v>
      </c>
      <c r="I33" s="534">
        <f>SUM('R0:R10'!I70)</f>
        <v>0</v>
      </c>
      <c r="J33" s="7">
        <f>AVERAGE(F33:I33)</f>
        <v>0</v>
      </c>
      <c r="K33" s="35"/>
      <c r="L33" s="4"/>
      <c r="M33" s="37"/>
      <c r="N33" s="91"/>
      <c r="O33" s="92"/>
      <c r="P33" s="79"/>
    </row>
    <row r="34" spans="1:16" s="89" customFormat="1" ht="11.25" customHeight="1">
      <c r="A34" s="104" t="s">
        <v>268</v>
      </c>
      <c r="B34" s="84">
        <f>SUM(B32:B33)</f>
        <v>0</v>
      </c>
      <c r="C34" s="84">
        <f>SUM(C32:C33)</f>
        <v>0</v>
      </c>
      <c r="D34" s="25"/>
      <c r="E34" s="25"/>
      <c r="F34" s="11"/>
      <c r="G34" s="11"/>
      <c r="H34" s="11"/>
      <c r="I34" s="11"/>
      <c r="J34" s="84">
        <f>SUM(J32:J33)</f>
        <v>0</v>
      </c>
      <c r="K34" s="28"/>
      <c r="L34" s="84">
        <f>SUM('R0:R10'!L71)</f>
        <v>0</v>
      </c>
      <c r="M34" s="195" t="str">
        <f>IF(L34&gt;0,L34/J34,"0")</f>
        <v>0</v>
      </c>
      <c r="N34" s="91"/>
      <c r="O34" s="92"/>
      <c r="P34" s="79"/>
    </row>
    <row r="35" spans="1:16" s="33" customFormat="1" ht="12" customHeight="1" thickBot="1">
      <c r="A35" s="173" t="s">
        <v>160</v>
      </c>
      <c r="B35" s="84">
        <f>SUM('R0:R10'!B35)</f>
        <v>0</v>
      </c>
      <c r="C35" s="84">
        <f>SUM('R0:R10'!C35)</f>
        <v>0</v>
      </c>
      <c r="D35" s="23"/>
      <c r="E35" s="23"/>
      <c r="F35" s="36"/>
      <c r="G35" s="36"/>
      <c r="H35" s="36"/>
      <c r="I35" s="36"/>
      <c r="J35" s="85"/>
      <c r="K35" s="23"/>
      <c r="L35" s="188"/>
      <c r="M35" s="196"/>
      <c r="P35" s="18"/>
    </row>
    <row r="36" spans="1:16" s="419" customFormat="1" ht="12.75" customHeight="1" thickBot="1">
      <c r="A36" s="414" t="s">
        <v>301</v>
      </c>
      <c r="B36" s="84">
        <f>B34+B29</f>
        <v>0</v>
      </c>
      <c r="C36" s="84">
        <f>C34+C29</f>
        <v>0</v>
      </c>
      <c r="D36" s="415"/>
      <c r="E36" s="415"/>
      <c r="F36" s="416"/>
      <c r="G36" s="416"/>
      <c r="H36" s="416"/>
      <c r="I36" s="416"/>
      <c r="J36" s="66">
        <f>J29+J34</f>
        <v>0</v>
      </c>
      <c r="K36" s="417"/>
      <c r="L36" s="66">
        <f>L29+L34</f>
        <v>0</v>
      </c>
      <c r="M36" s="418">
        <f>IF(L36&gt;0,L36/J36,"")</f>
      </c>
      <c r="P36" s="420"/>
    </row>
    <row r="37" spans="1:16" s="89" customFormat="1" ht="13.5" thickBot="1">
      <c r="A37" s="149"/>
      <c r="B37" s="29"/>
      <c r="C37" s="29"/>
      <c r="D37" s="5"/>
      <c r="E37" s="5"/>
      <c r="F37" s="5"/>
      <c r="G37" s="5"/>
      <c r="H37" s="5"/>
      <c r="I37" s="5"/>
      <c r="J37" s="150"/>
      <c r="K37" s="5"/>
      <c r="L37" s="6"/>
      <c r="M37" s="5"/>
      <c r="N37" s="91"/>
      <c r="O37" s="92"/>
      <c r="P37" s="79"/>
    </row>
    <row r="38" spans="1:13" s="18" customFormat="1" ht="12.75" customHeight="1">
      <c r="A38" s="148" t="s">
        <v>272</v>
      </c>
      <c r="B38" s="379"/>
      <c r="C38" s="380"/>
      <c r="D38" s="60"/>
      <c r="E38" s="60"/>
      <c r="F38" s="60"/>
      <c r="G38" s="60"/>
      <c r="H38" s="60"/>
      <c r="I38" s="60"/>
      <c r="J38" s="56"/>
      <c r="K38" s="56"/>
      <c r="L38" s="60"/>
      <c r="M38" s="197"/>
    </row>
    <row r="39" spans="1:13" s="18" customFormat="1" ht="19.5" customHeight="1">
      <c r="A39" s="37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220</v>
      </c>
      <c r="L39" s="598"/>
      <c r="M39" s="599"/>
    </row>
    <row r="40" spans="1:16" s="33" customFormat="1" ht="42.75" customHeight="1" thickBot="1">
      <c r="A40" s="378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202</v>
      </c>
      <c r="P40" s="18"/>
    </row>
    <row r="41" spans="1:16" s="428" customFormat="1" ht="16.5" customHeight="1" thickBot="1">
      <c r="A41" s="421" t="s">
        <v>273</v>
      </c>
      <c r="B41" s="422"/>
      <c r="C41" s="422"/>
      <c r="D41" s="423"/>
      <c r="E41" s="423"/>
      <c r="F41" s="424"/>
      <c r="G41" s="424"/>
      <c r="H41" s="424"/>
      <c r="I41" s="424"/>
      <c r="J41" s="425">
        <f>J18+J36</f>
        <v>0</v>
      </c>
      <c r="K41" s="426"/>
      <c r="L41" s="425">
        <f>L18+L36</f>
        <v>0</v>
      </c>
      <c r="M41" s="427">
        <f>IF(L41&gt;0,L41/J41,"")</f>
      </c>
      <c r="P41" s="429"/>
    </row>
    <row r="42" spans="1:16" s="89" customFormat="1" ht="12.75">
      <c r="A42" s="93"/>
      <c r="B42" s="11"/>
      <c r="C42" s="11"/>
      <c r="D42" s="18"/>
      <c r="E42" s="18"/>
      <c r="F42" s="11"/>
      <c r="G42" s="11"/>
      <c r="H42" s="11"/>
      <c r="I42" s="11"/>
      <c r="J42" s="11"/>
      <c r="K42" s="18"/>
      <c r="L42" s="11"/>
      <c r="M42" s="37"/>
      <c r="N42" s="91"/>
      <c r="O42" s="92"/>
      <c r="P42" s="79"/>
    </row>
    <row r="43" spans="1:16" s="89" customFormat="1" ht="12.75">
      <c r="A43" s="430" t="s">
        <v>269</v>
      </c>
      <c r="B43" s="236">
        <f>Installation!B2</f>
        <v>0</v>
      </c>
      <c r="C43" s="11"/>
      <c r="D43" s="18"/>
      <c r="E43" s="18"/>
      <c r="F43" s="11"/>
      <c r="G43" s="11"/>
      <c r="H43" s="11"/>
      <c r="I43" s="11"/>
      <c r="J43" s="30"/>
      <c r="K43" s="18"/>
      <c r="L43" s="1"/>
      <c r="M43" s="31"/>
      <c r="N43" s="91"/>
      <c r="O43" s="92"/>
      <c r="P43" s="79"/>
    </row>
    <row r="44" spans="1:16" s="89" customFormat="1" ht="13.5" customHeight="1">
      <c r="A44" s="431" t="s">
        <v>270</v>
      </c>
      <c r="B44" s="432">
        <f>Installation!B3</f>
        <v>0</v>
      </c>
      <c r="C44" s="11"/>
      <c r="D44" s="602" t="s">
        <v>204</v>
      </c>
      <c r="E44" s="602"/>
      <c r="F44" s="387"/>
      <c r="G44" s="387"/>
      <c r="H44" s="387"/>
      <c r="I44" s="387"/>
      <c r="J44" s="387"/>
      <c r="K44" s="18"/>
      <c r="L44" s="1"/>
      <c r="M44" s="14"/>
      <c r="N44" s="91"/>
      <c r="O44" s="92"/>
      <c r="P44" s="79"/>
    </row>
    <row r="45" spans="1:16" s="89" customFormat="1" ht="12.75">
      <c r="A45" s="271" t="s">
        <v>274</v>
      </c>
      <c r="B45" s="433">
        <f>J41</f>
        <v>0</v>
      </c>
      <c r="C45" s="11"/>
      <c r="D45" s="18"/>
      <c r="E45" s="18"/>
      <c r="F45" s="387"/>
      <c r="G45" s="387"/>
      <c r="H45" s="387"/>
      <c r="I45" s="387"/>
      <c r="J45" s="387"/>
      <c r="K45" s="18"/>
      <c r="L45" s="1"/>
      <c r="M45" s="14"/>
      <c r="N45" s="91"/>
      <c r="O45" s="92"/>
      <c r="P45" s="79"/>
    </row>
    <row r="46" spans="1:16" s="89" customFormat="1" ht="12.75" customHeight="1">
      <c r="A46" s="272" t="s">
        <v>275</v>
      </c>
      <c r="B46" s="573">
        <f>IF(J10&gt;0,J10/J41,"")</f>
      </c>
      <c r="C46" s="32"/>
      <c r="D46" s="33"/>
      <c r="E46" s="33"/>
      <c r="F46" s="387"/>
      <c r="G46" s="387"/>
      <c r="H46" s="387"/>
      <c r="I46" s="387"/>
      <c r="J46" s="387"/>
      <c r="K46" s="33"/>
      <c r="L46" s="33"/>
      <c r="M46" s="33"/>
      <c r="N46" s="91"/>
      <c r="O46" s="92"/>
      <c r="P46" s="79"/>
    </row>
    <row r="47" spans="1:16" s="89" customFormat="1" ht="14.25" customHeight="1">
      <c r="A47" s="274" t="s">
        <v>276</v>
      </c>
      <c r="B47" s="572">
        <f>IF(J41&gt;0,J41/$B$2,"")</f>
      </c>
      <c r="C47" s="32"/>
      <c r="D47" s="33"/>
      <c r="E47" s="33"/>
      <c r="F47" s="387"/>
      <c r="G47" s="387"/>
      <c r="H47" s="387"/>
      <c r="I47" s="387"/>
      <c r="J47" s="387"/>
      <c r="K47" s="33"/>
      <c r="L47" s="33"/>
      <c r="M47" s="33"/>
      <c r="N47" s="91"/>
      <c r="O47" s="92"/>
      <c r="P47" s="79"/>
    </row>
    <row r="48" spans="1:16" s="89" customFormat="1" ht="13.5" customHeight="1">
      <c r="A48" s="271" t="s">
        <v>277</v>
      </c>
      <c r="B48" s="433">
        <f>L41</f>
        <v>0</v>
      </c>
      <c r="C48" s="32"/>
      <c r="D48" s="33"/>
      <c r="E48" s="33"/>
      <c r="F48" s="387"/>
      <c r="G48" s="387"/>
      <c r="H48" s="387"/>
      <c r="I48" s="387"/>
      <c r="J48" s="387"/>
      <c r="K48" s="33"/>
      <c r="L48" s="33"/>
      <c r="M48" s="33"/>
      <c r="N48" s="91"/>
      <c r="O48" s="92"/>
      <c r="P48" s="79"/>
    </row>
    <row r="49" spans="1:17" s="107" customFormat="1" ht="11.25" customHeight="1">
      <c r="A49" s="275" t="s">
        <v>278</v>
      </c>
      <c r="B49" s="276">
        <f>M41</f>
      </c>
      <c r="J49" s="87"/>
      <c r="K49" s="87"/>
      <c r="L49" s="87"/>
      <c r="M49" s="87"/>
      <c r="N49" s="87"/>
      <c r="O49" s="87"/>
      <c r="P49" s="87"/>
      <c r="Q49" s="87"/>
    </row>
    <row r="50" spans="13:22" s="107" customFormat="1" ht="11.25" customHeight="1">
      <c r="M50" s="106"/>
      <c r="N50" s="106"/>
      <c r="O50" s="106"/>
      <c r="P50" s="106"/>
      <c r="Q50" s="106"/>
      <c r="S50" s="110"/>
      <c r="T50" s="110"/>
      <c r="U50" s="110"/>
      <c r="V50" s="110"/>
    </row>
    <row r="51" spans="1:22" s="107" customFormat="1" ht="11.25" customHeight="1">
      <c r="A51" s="238" t="s">
        <v>165</v>
      </c>
      <c r="B51" s="32"/>
      <c r="C51" s="32"/>
      <c r="D51" s="32"/>
      <c r="E51" s="32"/>
      <c r="F51" s="33"/>
      <c r="G51" s="595"/>
      <c r="H51" s="595"/>
      <c r="I51" s="87"/>
      <c r="M51" s="106"/>
      <c r="N51" s="106"/>
      <c r="O51" s="106"/>
      <c r="P51" s="106"/>
      <c r="Q51" s="106"/>
      <c r="S51" s="110"/>
      <c r="T51" s="110"/>
      <c r="U51" s="110"/>
      <c r="V51" s="110"/>
    </row>
    <row r="52" spans="1:22" s="107" customFormat="1" ht="11.25" customHeight="1">
      <c r="A52" s="265"/>
      <c r="B52" s="32"/>
      <c r="C52" s="32"/>
      <c r="D52" s="32"/>
      <c r="E52" s="32"/>
      <c r="F52" s="33"/>
      <c r="G52" s="256"/>
      <c r="H52" s="256"/>
      <c r="I52" s="87"/>
      <c r="M52" s="106"/>
      <c r="N52" s="106"/>
      <c r="O52" s="106"/>
      <c r="P52" s="106"/>
      <c r="Q52" s="106"/>
      <c r="S52" s="110"/>
      <c r="T52" s="110"/>
      <c r="U52" s="110"/>
      <c r="V52" s="110"/>
    </row>
    <row r="53" spans="1:17" s="107" customFormat="1" ht="21">
      <c r="A53" s="547" t="s">
        <v>166</v>
      </c>
      <c r="B53" s="170" t="s">
        <v>205</v>
      </c>
      <c r="C53" s="576" t="s">
        <v>206</v>
      </c>
      <c r="D53" s="241" t="s">
        <v>279</v>
      </c>
      <c r="E53" s="400"/>
      <c r="F53" s="401"/>
      <c r="G53" s="596"/>
      <c r="H53" s="596"/>
      <c r="I53" s="269"/>
      <c r="M53" s="94"/>
      <c r="N53" s="94"/>
      <c r="O53" s="94"/>
      <c r="P53" s="87"/>
      <c r="Q53" s="87"/>
    </row>
    <row r="54" spans="1:16" s="107" customFormat="1" ht="11.25" customHeight="1">
      <c r="A54" s="277" t="s">
        <v>167</v>
      </c>
      <c r="B54" s="526" t="str">
        <f>IF($B$10&gt;0,(($B$10+$C$10)/2)/$B$2,"0")</f>
        <v>0</v>
      </c>
      <c r="C54" s="264" t="str">
        <f>IF($B$54="0","Données CDI manquantes!",IF($B$54&gt;0.0069,"Valeur anormalement élevée!","ok!"))</f>
        <v>Données CDI manquantes!</v>
      </c>
      <c r="D54" s="244" t="s">
        <v>295</v>
      </c>
      <c r="E54" s="260"/>
      <c r="F54" s="244"/>
      <c r="G54" s="261"/>
      <c r="H54" s="261"/>
      <c r="I54" s="253"/>
      <c r="J54" s="259"/>
      <c r="K54" s="259"/>
      <c r="L54" s="259"/>
      <c r="M54" s="109"/>
      <c r="N54" s="94"/>
      <c r="O54" s="94"/>
      <c r="P54" s="87"/>
    </row>
    <row r="55" spans="1:16" s="107" customFormat="1" ht="11.25" customHeight="1">
      <c r="A55" s="277" t="s">
        <v>168</v>
      </c>
      <c r="B55" s="526" t="str">
        <f>IF($B$11&gt;0,(($B$11+$C$11)/2)/($B$2/2),"0")</f>
        <v>0</v>
      </c>
      <c r="C55" s="264" t="str">
        <f>IF(B61="0","Données HSH manquantes!",IF(B61&gt;0.4,"Valeur anormalement élevée!","ok!"))</f>
        <v>Données HSH manquantes!</v>
      </c>
      <c r="D55" s="245" t="s">
        <v>296</v>
      </c>
      <c r="E55" s="260"/>
      <c r="F55" s="245"/>
      <c r="G55" s="261"/>
      <c r="H55" s="261"/>
      <c r="I55" s="253"/>
      <c r="J55" s="259"/>
      <c r="K55" s="259"/>
      <c r="L55" s="259"/>
      <c r="M55" s="109"/>
      <c r="N55" s="94"/>
      <c r="O55" s="94"/>
      <c r="P55" s="87"/>
    </row>
    <row r="56" spans="1:16" s="107" customFormat="1" ht="11.25" customHeight="1">
      <c r="A56" s="277" t="s">
        <v>169</v>
      </c>
      <c r="B56" s="526" t="str">
        <f>IF($B$12&gt;0,(($B$12+$C$12)/2)/($B$2/2),"0")</f>
        <v>0</v>
      </c>
      <c r="C56" s="264" t="str">
        <f>IF($B$56="0","Données FSW manquantes!",IF($B$56&gt;0.008,"Valeur anormalement élevée!",IF($B$56&lt;0.003,"Valeur anormalement faible!","ok!")))</f>
        <v>Données FSW manquantes!</v>
      </c>
      <c r="D56" s="245" t="s">
        <v>288</v>
      </c>
      <c r="E56" s="260"/>
      <c r="F56" s="245"/>
      <c r="G56" s="261"/>
      <c r="H56" s="261"/>
      <c r="I56" s="253"/>
      <c r="J56" s="259"/>
      <c r="K56" s="259"/>
      <c r="L56" s="259"/>
      <c r="M56" s="109"/>
      <c r="N56" s="87"/>
      <c r="O56" s="94"/>
      <c r="P56" s="87"/>
    </row>
    <row r="57" spans="1:16" s="107" customFormat="1" ht="10.5">
      <c r="A57" s="278" t="s">
        <v>228</v>
      </c>
      <c r="B57" s="526" t="str">
        <f>IF($B$13&gt;0,(($B$13+$C$13)/2)/($B$2/2),"0")</f>
        <v>0</v>
      </c>
      <c r="C57" s="264" t="str">
        <f>IF($B$57="0","Données clients des FSW manquantes!",IF($B$57&gt;0.2,"Valeur anormalement élevée!",IF($B$57&lt;0.05,"Valeur anormalement faible!","ok!")))</f>
        <v>Données clients des FSW manquantes!</v>
      </c>
      <c r="D57" s="245" t="s">
        <v>289</v>
      </c>
      <c r="E57" s="260"/>
      <c r="F57" s="245"/>
      <c r="G57" s="261"/>
      <c r="H57" s="261"/>
      <c r="I57" s="253"/>
      <c r="J57" s="259"/>
      <c r="K57" s="259"/>
      <c r="L57" s="259"/>
      <c r="M57" s="109"/>
      <c r="N57" s="94"/>
      <c r="O57" s="94"/>
      <c r="P57" s="87"/>
    </row>
    <row r="58" spans="1:16" s="107" customFormat="1" ht="11.25" customHeight="1">
      <c r="A58" s="87"/>
      <c r="B58" s="87"/>
      <c r="C58" s="87"/>
      <c r="D58" s="87"/>
      <c r="E58" s="87"/>
      <c r="F58" s="87"/>
      <c r="G58" s="87"/>
      <c r="H58" s="87"/>
      <c r="I58" s="87"/>
      <c r="N58" s="87"/>
      <c r="O58" s="87"/>
      <c r="P58" s="87"/>
    </row>
    <row r="59" spans="1:16" s="107" customFormat="1" ht="12" customHeight="1">
      <c r="A59" s="240" t="s">
        <v>297</v>
      </c>
      <c r="B59" s="170" t="s">
        <v>282</v>
      </c>
      <c r="C59" s="576" t="s">
        <v>206</v>
      </c>
      <c r="D59" s="241" t="s">
        <v>279</v>
      </c>
      <c r="E59" s="269"/>
      <c r="F59" s="269"/>
      <c r="G59" s="269"/>
      <c r="H59" s="269"/>
      <c r="I59" s="269"/>
      <c r="N59" s="87"/>
      <c r="O59" s="87"/>
      <c r="P59" s="87"/>
    </row>
    <row r="60" spans="1:16" s="107" customFormat="1" ht="11.25" customHeight="1">
      <c r="A60" s="242" t="str">
        <f>'R1'!A10</f>
        <v>CDI</v>
      </c>
      <c r="B60" s="527" t="str">
        <f>IF(B10&gt;0,((D10+E10)/2),"0")</f>
        <v>0</v>
      </c>
      <c r="C60" s="243" t="str">
        <f>IF(B60="0","Données prévalence CDI manquantes!",IF(B60&gt;0.7,"Valeur anormalement élevée!","ok!"))</f>
        <v>Données prévalence CDI manquantes!</v>
      </c>
      <c r="D60" s="252" t="s">
        <v>294</v>
      </c>
      <c r="E60" s="259"/>
      <c r="F60" s="259"/>
      <c r="G60" s="259"/>
      <c r="H60" s="259"/>
      <c r="I60" s="259"/>
      <c r="J60" s="259"/>
      <c r="K60" s="259"/>
      <c r="N60" s="87"/>
      <c r="O60" s="87"/>
      <c r="P60" s="87"/>
    </row>
    <row r="61" spans="1:16" s="107" customFormat="1" ht="11.25" customHeight="1">
      <c r="A61" s="242" t="str">
        <f>'R1'!A11</f>
        <v>HSH</v>
      </c>
      <c r="B61" s="527" t="str">
        <f>IF(B11&gt;0,((D11+E11)/2),"0")</f>
        <v>0</v>
      </c>
      <c r="C61" s="243" t="str">
        <f>IF(B61="0","Données prévalence HSH manquantes!",IF(B61&gt;0.4,"Valeur anormalement élevée!","ok!"))</f>
        <v>Données prévalence HSH manquantes!</v>
      </c>
      <c r="D61" s="252" t="s">
        <v>293</v>
      </c>
      <c r="E61" s="259"/>
      <c r="F61" s="259"/>
      <c r="G61" s="259"/>
      <c r="H61" s="259"/>
      <c r="I61" s="259"/>
      <c r="J61" s="259"/>
      <c r="K61" s="259"/>
      <c r="N61" s="87"/>
      <c r="O61" s="87"/>
      <c r="P61" s="87"/>
    </row>
    <row r="62" spans="1:16" s="107" customFormat="1" ht="11.25" customHeight="1">
      <c r="A62" s="242" t="str">
        <f>'R1'!A12</f>
        <v>Professionnelles du sexe (PS)</v>
      </c>
      <c r="B62" s="527" t="str">
        <f>IF(B12&gt;0,((D12+E12)/2),"0")</f>
        <v>0</v>
      </c>
      <c r="C62" s="243" t="str">
        <f>IF(B62="0","Données prévalence FSW manquantes!",IF(B62&gt;0.6,"Valeur anormalement élevée!","ok!"))</f>
        <v>Données prévalence FSW manquantes!</v>
      </c>
      <c r="D62" s="252" t="s">
        <v>292</v>
      </c>
      <c r="E62" s="259"/>
      <c r="F62" s="259"/>
      <c r="G62" s="259"/>
      <c r="H62" s="259"/>
      <c r="I62" s="259"/>
      <c r="J62" s="259"/>
      <c r="K62" s="259"/>
      <c r="N62" s="87"/>
      <c r="O62" s="87"/>
      <c r="P62" s="87"/>
    </row>
    <row r="63" spans="1:16" s="107" customFormat="1" ht="11.25" customHeight="1">
      <c r="A63" s="242" t="str">
        <f>'R1'!A13</f>
        <v>Clients des professionnelles du sexe</v>
      </c>
      <c r="B63" s="527" t="str">
        <f>IF(B13&gt;0,((D13+E13)/2),"0")</f>
        <v>0</v>
      </c>
      <c r="C63" s="243" t="str">
        <f>IF(B63="0","Données prévalence clients des FSW manquantes!",IF(B63&gt;0.3,"Valeur anormalement élevée!","ok!"))</f>
        <v>Données prévalence clients des FSW manquantes!</v>
      </c>
      <c r="D63" s="252" t="s">
        <v>291</v>
      </c>
      <c r="E63" s="259"/>
      <c r="F63" s="259"/>
      <c r="G63" s="259"/>
      <c r="H63" s="259"/>
      <c r="I63" s="259"/>
      <c r="J63" s="259"/>
      <c r="K63" s="259"/>
      <c r="N63" s="87"/>
      <c r="O63" s="87"/>
      <c r="P63" s="87"/>
    </row>
    <row r="64" spans="1:16" s="107" customFormat="1" ht="11.25" customHeight="1">
      <c r="A64" s="246"/>
      <c r="B64" s="247"/>
      <c r="C64" s="248"/>
      <c r="D64" s="249"/>
      <c r="N64" s="87"/>
      <c r="O64" s="87"/>
      <c r="P64" s="87"/>
    </row>
    <row r="65" spans="1:16" s="107" customFormat="1" ht="11.25" customHeight="1">
      <c r="A65" s="266" t="s">
        <v>74</v>
      </c>
      <c r="B65" s="250" t="s">
        <v>283</v>
      </c>
      <c r="C65" s="576" t="s">
        <v>206</v>
      </c>
      <c r="D65" s="269"/>
      <c r="E65" s="241" t="s">
        <v>279</v>
      </c>
      <c r="F65" s="269"/>
      <c r="G65" s="269"/>
      <c r="H65" s="269"/>
      <c r="I65" s="269"/>
      <c r="N65" s="87"/>
      <c r="O65" s="87"/>
      <c r="P65" s="87"/>
    </row>
    <row r="66" spans="1:16" s="107" customFormat="1" ht="11.25" customHeight="1">
      <c r="A66" s="244" t="s">
        <v>280</v>
      </c>
      <c r="B66" s="525" t="str">
        <f>IF(J41&gt;0,L41/(J41-L41),"0")</f>
        <v>0</v>
      </c>
      <c r="C66" s="577"/>
      <c r="D66" s="578"/>
      <c r="E66" s="579"/>
      <c r="F66" s="253"/>
      <c r="G66" s="259"/>
      <c r="H66" s="259"/>
      <c r="I66" s="259"/>
      <c r="J66" s="259"/>
      <c r="K66" s="259"/>
      <c r="L66" s="259"/>
      <c r="N66" s="87"/>
      <c r="O66" s="87"/>
      <c r="P66" s="87"/>
    </row>
    <row r="67" spans="1:16" s="107" customFormat="1" ht="11.25" customHeight="1">
      <c r="A67" s="242" t="s">
        <v>284</v>
      </c>
      <c r="B67" s="251" t="str">
        <f>IF(J36&gt;0,J36/J18,"0")</f>
        <v>0</v>
      </c>
      <c r="C67" s="243">
        <f>IF(B67="0","",IF(B67&gt;0.33,"Valeur anormalement élevée!!",IF(B67&lt;0.05,"Unusually LOW ratio!","ok!")))</f>
      </c>
      <c r="D67" s="267"/>
      <c r="E67" s="245" t="s">
        <v>290</v>
      </c>
      <c r="F67" s="259"/>
      <c r="G67" s="259"/>
      <c r="H67" s="259"/>
      <c r="I67" s="259"/>
      <c r="J67" s="259"/>
      <c r="K67" s="259"/>
      <c r="L67" s="259"/>
      <c r="N67" s="87"/>
      <c r="O67" s="87"/>
      <c r="P67" s="87"/>
    </row>
    <row r="68" spans="1:12" ht="12.75">
      <c r="A68" s="253" t="s">
        <v>281</v>
      </c>
      <c r="B68" s="526" t="str">
        <f>B3</f>
        <v>0%</v>
      </c>
      <c r="C68" s="254" t="str">
        <f>IF($B$3&lt;Installation!E8,"Faible - Vérifier feuille Démarrage.",IF($B$3&gt;Installation!E8,"Elevé - Vérifier feuille Démarrage.","ok!"))</f>
        <v>Elevé - Vérifier feuille Démarrage.</v>
      </c>
      <c r="D68" s="268"/>
      <c r="E68" s="255" t="str">
        <f>IF($B$3&lt;Installation!E8,"Pourcentage Pays urbain inférieur au taux de la 'feuille Démarrage'.",IF($B$3&gt;Installation!E8,"Pourcentage Pays urbain supérieur au taux de la 'feuille Démarrage'.","OK"))</f>
        <v>Pourcentage Pays urbain supérieur au taux de la 'feuille Démarrage'.</v>
      </c>
      <c r="F68" s="262"/>
      <c r="G68" s="262"/>
      <c r="H68" s="262"/>
      <c r="I68" s="262"/>
      <c r="J68" s="262"/>
      <c r="K68" s="263"/>
      <c r="L68" s="263"/>
    </row>
  </sheetData>
  <sheetProtection sheet="1" objects="1" scenarios="1" selectLockedCells="1"/>
  <mergeCells count="26">
    <mergeCell ref="B39:C39"/>
    <mergeCell ref="D39:E39"/>
    <mergeCell ref="F39:I39"/>
    <mergeCell ref="J39:J40"/>
    <mergeCell ref="A30:A31"/>
    <mergeCell ref="B30:C30"/>
    <mergeCell ref="D30:E30"/>
    <mergeCell ref="F30:I30"/>
    <mergeCell ref="A8:A9"/>
    <mergeCell ref="A21:A22"/>
    <mergeCell ref="B21:C21"/>
    <mergeCell ref="D21:E21"/>
    <mergeCell ref="B8:C8"/>
    <mergeCell ref="D8:E8"/>
    <mergeCell ref="D44:E44"/>
    <mergeCell ref="K8:M8"/>
    <mergeCell ref="F21:I21"/>
    <mergeCell ref="J21:J22"/>
    <mergeCell ref="K21:M21"/>
    <mergeCell ref="J30:J31"/>
    <mergeCell ref="K30:M30"/>
    <mergeCell ref="K39:M39"/>
    <mergeCell ref="G51:H51"/>
    <mergeCell ref="G53:H53"/>
    <mergeCell ref="F8:I8"/>
    <mergeCell ref="J8:J9"/>
  </mergeCells>
  <printOptions/>
  <pageMargins left="0.59" right="0.45" top="0.75" bottom="0.67" header="0.5" footer="0.5"/>
  <pageSetup fitToHeight="1" fitToWidth="1" horizontalDpi="600" verticalDpi="600" orientation="portrait" paperSize="9" scale="58" r:id="rId1"/>
  <headerFooter alignWithMargins="0">
    <oddHeader>&amp;L&amp;F
&amp;D  &amp;T&amp;C&amp;A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AK29"/>
  <sheetViews>
    <sheetView workbookViewId="0" topLeftCell="A1">
      <selection activeCell="AN12" sqref="AN12"/>
    </sheetView>
  </sheetViews>
  <sheetFormatPr defaultColWidth="9.140625" defaultRowHeight="12.75"/>
  <cols>
    <col min="1" max="1" width="10.57421875" style="209" customWidth="1"/>
    <col min="2" max="2" width="4.8515625" style="162" hidden="1" customWidth="1"/>
    <col min="3" max="3" width="8.421875" style="162" customWidth="1"/>
    <col min="4" max="4" width="8.7109375" style="162" hidden="1" customWidth="1"/>
    <col min="5" max="5" width="4.57421875" style="162" hidden="1" customWidth="1"/>
    <col min="6" max="6" width="8.57421875" style="162" customWidth="1"/>
    <col min="7" max="7" width="7.140625" style="162" hidden="1" customWidth="1"/>
    <col min="8" max="8" width="2.140625" style="162" hidden="1" customWidth="1"/>
    <col min="9" max="9" width="8.421875" style="162" customWidth="1"/>
    <col min="10" max="11" width="8.7109375" style="162" hidden="1" customWidth="1"/>
    <col min="12" max="12" width="8.00390625" style="162" customWidth="1"/>
    <col min="13" max="14" width="8.7109375" style="162" hidden="1" customWidth="1"/>
    <col min="15" max="15" width="8.57421875" style="162" customWidth="1"/>
    <col min="16" max="16" width="0.2890625" style="162" hidden="1" customWidth="1"/>
    <col min="17" max="17" width="8.7109375" style="162" hidden="1" customWidth="1"/>
    <col min="18" max="18" width="8.421875" style="162" customWidth="1"/>
    <col min="19" max="19" width="8.7109375" style="162" hidden="1" customWidth="1"/>
    <col min="20" max="20" width="0.13671875" style="162" hidden="1" customWidth="1"/>
    <col min="21" max="21" width="8.7109375" style="162" customWidth="1"/>
    <col min="22" max="23" width="8.7109375" style="162" hidden="1" customWidth="1"/>
    <col min="24" max="24" width="8.421875" style="162" customWidth="1"/>
    <col min="25" max="26" width="8.7109375" style="162" hidden="1" customWidth="1"/>
    <col min="27" max="27" width="8.421875" style="162" customWidth="1"/>
    <col min="28" max="29" width="8.7109375" style="162" hidden="1" customWidth="1"/>
    <col min="30" max="30" width="8.28125" style="162" customWidth="1"/>
    <col min="31" max="31" width="0.13671875" style="162" hidden="1" customWidth="1"/>
    <col min="32" max="32" width="8.7109375" style="162" hidden="1" customWidth="1"/>
    <col min="33" max="33" width="8.57421875" style="162" customWidth="1"/>
    <col min="34" max="34" width="0.13671875" style="162" hidden="1" customWidth="1"/>
    <col min="35" max="35" width="8.7109375" style="162" hidden="1" customWidth="1"/>
    <col min="36" max="36" width="8.7109375" style="162" customWidth="1"/>
    <col min="37" max="37" width="8.7109375" style="162" hidden="1" customWidth="1"/>
    <col min="38" max="16384" width="9.140625" style="162" customWidth="1"/>
  </cols>
  <sheetData>
    <row r="1" spans="1:36" ht="12.75">
      <c r="A1" s="497" t="s">
        <v>81</v>
      </c>
      <c r="C1" s="504">
        <f>Installation!$B2</f>
        <v>0</v>
      </c>
      <c r="D1" s="406"/>
      <c r="E1" s="406"/>
      <c r="F1" s="504">
        <f>Installation!$B19</f>
        <v>0</v>
      </c>
      <c r="G1" s="505"/>
      <c r="H1" s="505"/>
      <c r="I1" s="504">
        <f>Installation!$B9</f>
        <v>0</v>
      </c>
      <c r="J1" s="505"/>
      <c r="K1" s="505"/>
      <c r="L1" s="504">
        <f>Installation!$B10</f>
        <v>0</v>
      </c>
      <c r="M1" s="505"/>
      <c r="N1" s="505"/>
      <c r="O1" s="504">
        <f>Installation!$B11</f>
        <v>0</v>
      </c>
      <c r="P1" s="505"/>
      <c r="Q1" s="505"/>
      <c r="R1" s="504">
        <f>Installation!$B12</f>
        <v>0</v>
      </c>
      <c r="S1" s="505"/>
      <c r="T1" s="505"/>
      <c r="U1" s="504">
        <f>Installation!$B13</f>
        <v>0</v>
      </c>
      <c r="V1" s="505"/>
      <c r="W1" s="505"/>
      <c r="X1" s="504">
        <f>Installation!$B14</f>
        <v>0</v>
      </c>
      <c r="Y1" s="505"/>
      <c r="Z1" s="505"/>
      <c r="AA1" s="504">
        <f>Installation!$B15</f>
        <v>0</v>
      </c>
      <c r="AB1" s="505"/>
      <c r="AC1" s="505"/>
      <c r="AD1" s="504">
        <f>Installation!$B16</f>
        <v>0</v>
      </c>
      <c r="AE1" s="505"/>
      <c r="AF1" s="505"/>
      <c r="AG1" s="504">
        <f>Installation!$B17</f>
        <v>0</v>
      </c>
      <c r="AH1" s="505"/>
      <c r="AI1" s="505"/>
      <c r="AJ1" s="504">
        <f>Installation!$B18</f>
        <v>0</v>
      </c>
    </row>
    <row r="2" spans="1:37" s="209" customFormat="1" ht="12.75">
      <c r="A2" s="493" t="s">
        <v>82</v>
      </c>
      <c r="B2" s="494" t="s">
        <v>30</v>
      </c>
      <c r="C2" s="497" t="s">
        <v>75</v>
      </c>
      <c r="D2" s="496" t="s">
        <v>30</v>
      </c>
      <c r="E2" s="494" t="s">
        <v>53</v>
      </c>
      <c r="F2" s="497" t="s">
        <v>84</v>
      </c>
      <c r="G2" s="496" t="s">
        <v>53</v>
      </c>
      <c r="H2" s="494">
        <v>1</v>
      </c>
      <c r="I2" s="497">
        <v>1</v>
      </c>
      <c r="J2" s="496">
        <v>1</v>
      </c>
      <c r="K2" s="494">
        <v>2</v>
      </c>
      <c r="L2" s="497">
        <v>2</v>
      </c>
      <c r="M2" s="496">
        <v>2</v>
      </c>
      <c r="N2" s="494">
        <v>3</v>
      </c>
      <c r="O2" s="497">
        <v>3</v>
      </c>
      <c r="P2" s="496">
        <v>3</v>
      </c>
      <c r="Q2" s="494">
        <v>4</v>
      </c>
      <c r="R2" s="497">
        <v>4</v>
      </c>
      <c r="S2" s="496">
        <v>4</v>
      </c>
      <c r="T2" s="494">
        <v>5</v>
      </c>
      <c r="U2" s="497">
        <v>5</v>
      </c>
      <c r="V2" s="496">
        <v>5</v>
      </c>
      <c r="W2" s="494">
        <v>6</v>
      </c>
      <c r="X2" s="497">
        <v>6</v>
      </c>
      <c r="Y2" s="496">
        <v>6</v>
      </c>
      <c r="Z2" s="494">
        <v>7</v>
      </c>
      <c r="AA2" s="497">
        <v>7</v>
      </c>
      <c r="AB2" s="496">
        <v>7</v>
      </c>
      <c r="AC2" s="494">
        <v>8</v>
      </c>
      <c r="AD2" s="497">
        <v>8</v>
      </c>
      <c r="AE2" s="496">
        <v>8</v>
      </c>
      <c r="AF2" s="494">
        <v>9</v>
      </c>
      <c r="AG2" s="497">
        <v>9</v>
      </c>
      <c r="AH2" s="496">
        <v>9</v>
      </c>
      <c r="AI2" s="494">
        <v>10</v>
      </c>
      <c r="AJ2" s="497">
        <v>10</v>
      </c>
      <c r="AK2" s="498">
        <v>10</v>
      </c>
    </row>
    <row r="3" spans="1:37" s="342" customFormat="1" ht="12.75">
      <c r="A3" s="495"/>
      <c r="B3" s="386"/>
      <c r="C3" s="499" t="s">
        <v>83</v>
      </c>
      <c r="D3" s="500" t="s">
        <v>34</v>
      </c>
      <c r="E3" s="501" t="s">
        <v>35</v>
      </c>
      <c r="F3" s="502" t="s">
        <v>83</v>
      </c>
      <c r="G3" s="503" t="s">
        <v>34</v>
      </c>
      <c r="H3" s="501" t="s">
        <v>35</v>
      </c>
      <c r="I3" s="502" t="s">
        <v>83</v>
      </c>
      <c r="J3" s="503" t="s">
        <v>34</v>
      </c>
      <c r="K3" s="501" t="s">
        <v>35</v>
      </c>
      <c r="L3" s="502" t="s">
        <v>83</v>
      </c>
      <c r="M3" s="503" t="s">
        <v>34</v>
      </c>
      <c r="N3" s="501" t="s">
        <v>35</v>
      </c>
      <c r="O3" s="502" t="s">
        <v>83</v>
      </c>
      <c r="P3" s="503" t="s">
        <v>34</v>
      </c>
      <c r="Q3" s="501" t="s">
        <v>35</v>
      </c>
      <c r="R3" s="502" t="s">
        <v>83</v>
      </c>
      <c r="S3" s="503" t="s">
        <v>34</v>
      </c>
      <c r="T3" s="501" t="s">
        <v>35</v>
      </c>
      <c r="U3" s="502" t="s">
        <v>83</v>
      </c>
      <c r="V3" s="503" t="s">
        <v>34</v>
      </c>
      <c r="W3" s="501" t="s">
        <v>35</v>
      </c>
      <c r="X3" s="502" t="s">
        <v>83</v>
      </c>
      <c r="Y3" s="503" t="s">
        <v>34</v>
      </c>
      <c r="Z3" s="501" t="s">
        <v>35</v>
      </c>
      <c r="AA3" s="502" t="s">
        <v>83</v>
      </c>
      <c r="AB3" s="503" t="s">
        <v>34</v>
      </c>
      <c r="AC3" s="501" t="s">
        <v>35</v>
      </c>
      <c r="AD3" s="502" t="s">
        <v>83</v>
      </c>
      <c r="AE3" s="503" t="s">
        <v>34</v>
      </c>
      <c r="AF3" s="501" t="s">
        <v>35</v>
      </c>
      <c r="AG3" s="502" t="s">
        <v>83</v>
      </c>
      <c r="AH3" s="503" t="s">
        <v>34</v>
      </c>
      <c r="AI3" s="501" t="s">
        <v>35</v>
      </c>
      <c r="AJ3" s="502" t="s">
        <v>83</v>
      </c>
      <c r="AK3" s="333" t="s">
        <v>34</v>
      </c>
    </row>
    <row r="4" spans="1:37" s="342" customFormat="1" ht="12.75">
      <c r="A4" s="506">
        <v>1980</v>
      </c>
      <c r="B4" s="339">
        <f>IF(ProjPays!I2="","",IF(ProjPays!I2="NA","","x"))</f>
      </c>
      <c r="C4" s="562">
        <f>IF(COUNT(ProjPays!I$2:I$26)&gt;0,EXP(ProjPays!$F$4*(ProjPays!H2-ProjPays!$F$2))/(1+EXP(ProjPays!$F$4*(ProjPays!H2-ProjPays!$F$2)))*(2*ProjPays!$F$3*EXP(-ProjPays!$F$6*(ProjPays!H2-ProjPays!$F$2))/(1+EXP(-ProjPays!$F$6*(ProjPays!H2-ProjPays!$F$2)))+ProjPays!$F$5),"")</f>
      </c>
      <c r="D4" s="341">
        <f>IF(B4&lt;&gt;"",(ProjPays!I2-C4)^2,"")</f>
      </c>
      <c r="E4" s="339">
        <f>IF(ProjRemaining!I2="","",IF(ProjRemaining!I2="NA","","x"))</f>
      </c>
      <c r="F4" s="562">
        <f>IF(COUNT(ProjRemaining!I$2:I$26)&gt;0,EXP(ProjRemaining!$F$4*(ProjRemaining!H2-ProjRemaining!$F$2))/(1+EXP(ProjRemaining!$F$4*(ProjRemaining!H2-ProjRemaining!$F$2)))*(2*ProjRemaining!$F$3*EXP(-ProjRemaining!$F$6*(ProjRemaining!H2-ProjRemaining!$F$2))/(1+EXP(-ProjRemaining!$F$6*(ProjRemaining!H2-ProjRemaining!$F$2)))+ProjRemaining!$F$5),"")</f>
      </c>
      <c r="G4" s="341">
        <f>IF(E4&lt;&gt;"",(ProjRemaining!I2-F4)^2,"")</f>
      </c>
      <c r="H4" s="339">
        <f>IF(Proj1!I2="","",IF(Proj1!I2="NA","","x"))</f>
      </c>
      <c r="I4" s="562">
        <f>IF(COUNT(Proj1!I$2:I$26)&gt;0,EXP(Proj1!$F$4*(Proj1!H2-Proj1!$F$2))/(1+EXP(Proj1!$F$4*(Proj1!H2-Proj1!$F$2)))*(2*Proj1!$F$3*EXP(-Proj1!$F$6*(Proj1!H2-Proj1!$F$2))/(1+EXP(-Proj1!$F$6*(Proj1!H2-Proj1!$F$2)))+Proj1!$F$5),"")</f>
      </c>
      <c r="J4" s="341">
        <f>IF(H4&lt;&gt;"",(Proj1!I2-I4)^2,"")</f>
      </c>
      <c r="K4" s="339">
        <f>IF(Proj2!I2="","",IF(Proj2!I2="NA","","x"))</f>
      </c>
      <c r="L4" s="562">
        <f>IF(COUNT(Proj2!I$2:I$26)&gt;0,EXP(Proj2!$F$4*(Proj2!H2-Proj2!$F$2))/(1+EXP(Proj2!$F$4*(Proj2!H2-Proj2!$F$2)))*(2*Proj2!$F$3*EXP(-Proj2!$F$6*(Proj2!H2-Proj2!$F$2))/(1+EXP(-Proj2!$F$6*(Proj2!H2-Proj2!$F$2)))+Proj2!$F$5),"")</f>
      </c>
      <c r="M4" s="341">
        <f>IF(K4&lt;&gt;"",(Proj2!I2-L4)^2,"")</f>
      </c>
      <c r="N4" s="339">
        <f>IF(Proj3!I2="","",IF(Proj3!I2="NA","","x"))</f>
      </c>
      <c r="O4" s="562">
        <f>IF(COUNT(Proj3!I$2:I$26)&gt;0,EXP(Proj3!$F$4*(Proj3!H2-Proj3!$F$2))/(1+EXP(Proj3!$F$4*(Proj3!H2-Proj3!$F$2)))*(2*Proj3!$F$3*EXP(-Proj3!$F$6*(Proj3!H2-Proj3!$F$2))/(1+EXP(-Proj3!$F$6*(Proj3!H2-Proj3!$F$2)))+Proj3!$F$5),"")</f>
      </c>
      <c r="P4" s="341">
        <f>IF(N4&lt;&gt;"",(Proj3!I2-O4)^2,"")</f>
      </c>
      <c r="Q4" s="339">
        <f>IF(Proj4!I2="","",IF(Proj4!I2="NA","","x"))</f>
      </c>
      <c r="R4" s="562">
        <f>IF(COUNT(Proj4!I$2:I$26)&gt;0,EXP(Proj4!$F$4*(Proj4!H2-Proj4!$F$2))/(1+EXP(Proj4!$F$4*(Proj4!H2-Proj4!$F$2)))*(2*Proj4!$F$3*EXP(-Proj4!$F$6*(Proj4!H2-Proj4!$F$2))/(1+EXP(-Proj4!$F$6*(Proj4!H2-Proj4!$F$2)))+Proj4!$F$5),"")</f>
      </c>
      <c r="S4" s="341">
        <f>IF(Q4&lt;&gt;"",(Proj4!I2-R4)^2,"")</f>
      </c>
      <c r="T4" s="339">
        <f>IF(Proj5!I2="","",IF(Proj5!I2="NA","","x"))</f>
      </c>
      <c r="U4" s="562">
        <f>IF(COUNT(Proj5!I$2:I$26)&gt;0,EXP(Proj5!$F$4*(Proj5!H2-Proj5!$F$2))/(1+EXP(Proj5!$F$4*(Proj5!H2-Proj5!$F$2)))*(2*Proj5!$F$3*EXP(-Proj5!$F$6*(Proj5!H2-Proj5!$F$2))/(1+EXP(-Proj5!$F$6*(Proj5!H2-Proj5!$F$2)))+Proj5!$F$5),"")</f>
      </c>
      <c r="V4" s="341">
        <f>IF(T4&lt;&gt;"",(Proj5!I2-U4)^2,"")</f>
      </c>
      <c r="W4" s="339">
        <f>IF(Proj6!I2="","",IF(Proj6!I2="NA","","x"))</f>
      </c>
      <c r="X4" s="562">
        <f>IF(COUNT(Proj6!I$2:I$26)&gt;0,EXP(Proj6!$F$4*(Proj6!H2-Proj6!$F$2))/(1+EXP(Proj6!$F$4*(Proj6!H2-Proj6!$F$2)))*(2*Proj6!$F$3*EXP(-Proj6!$F$6*(Proj6!H2-Proj6!$F$2))/(1+EXP(-Proj6!$F$6*(Proj6!H2-Proj6!$F$2)))+Proj6!$F$5),"")</f>
      </c>
      <c r="Y4" s="341">
        <f>IF(W4&lt;&gt;"",(Proj6!I2-X4)^2,"")</f>
      </c>
      <c r="Z4" s="339">
        <f>IF(Proj7!I2="","",IF(Proj7!I2="NA","","x"))</f>
      </c>
      <c r="AA4" s="562">
        <f>IF(COUNT(Proj7!I$2:I$26)&gt;0,EXP(Proj7!$F$4*(Proj7!H2-Proj7!$F$2))/(1+EXP(Proj7!$F$4*(Proj7!H2-Proj7!$F$2)))*(2*Proj7!$F$3*EXP(-Proj7!$F$6*(Proj7!H2-Proj7!$F$2))/(1+EXP(-Proj7!$F$6*(Proj7!H2-Proj7!$F$2)))+Proj7!$F$5),"")</f>
      </c>
      <c r="AB4" s="341">
        <f>IF(Z4&lt;&gt;"",(Proj7!I2-AA4)^2,"")</f>
      </c>
      <c r="AC4" s="339">
        <f>IF(Proj8!I2="","",IF(Proj8!I2="NA","","x"))</f>
      </c>
      <c r="AD4" s="562">
        <f>IF(COUNT(Proj8!I$2:I$26)&gt;0,EXP(Proj8!$F$4*(Proj8!H2-Proj8!$F$2))/(1+EXP(Proj8!$F$4*(Proj8!H2-Proj8!$F$2)))*(2*Proj8!$F$3*EXP(-Proj8!$F$6*(Proj8!H2-Proj8!$F$2))/(1+EXP(-Proj8!$F$6*(Proj8!H2-Proj8!$F$2)))+Proj8!$F$5),"")</f>
      </c>
      <c r="AE4" s="341">
        <f>IF(AC4&lt;&gt;"",(Proj8!I2-AD4)^2,"")</f>
      </c>
      <c r="AF4" s="339">
        <f>IF(Proj9!I2="","",IF(Proj9!I2="NA","","x"))</f>
      </c>
      <c r="AG4" s="562">
        <f>IF(COUNT(Proj9!I$2:I$26)&gt;0,EXP(Proj9!$F$4*(Proj9!H2-Proj9!$F$2))/(1+EXP(Proj9!$F$4*(Proj9!H2-Proj9!$F$2)))*(2*Proj9!$F$3*EXP(-Proj9!$F$6*(Proj9!H2-Proj9!$F$2))/(1+EXP(-Proj9!$F$6*(Proj9!H2-Proj9!$F$2)))+Proj9!$F$5),"")</f>
      </c>
      <c r="AH4" s="341">
        <f>IF(AF4&lt;&gt;"",(Proj9!I2-AG4)^2,"")</f>
      </c>
      <c r="AI4" s="339">
        <f>IF(Proj10!I2="","",IF(Proj10!I2="NA","","x"))</f>
      </c>
      <c r="AJ4" s="562">
        <f>IF(COUNT(Proj10!I$2:I$26)&gt;0,EXP(Proj10!$F$4*(Proj10!H2-Proj10!$F$2))/(1+EXP(Proj10!$F$4*(Proj10!H2-Proj10!$F$2)))*(2*Proj10!$F$3*EXP(-Proj10!$F$6*(Proj10!H2-Proj10!$F$2))/(1+EXP(-Proj10!$F$6*(Proj10!H2-Proj10!$F$2)))+Proj10!$F$5),"")</f>
      </c>
      <c r="AK4" s="341">
        <f>IF(AI4&lt;&gt;"",(Proj10!I2-AJ4)^2,"")</f>
      </c>
    </row>
    <row r="5" spans="1:37" s="342" customFormat="1" ht="12.75">
      <c r="A5" s="507">
        <v>1981</v>
      </c>
      <c r="B5" s="339">
        <f>IF(ProjPays!I3="","",IF(ProjPays!I3="NA","","x"))</f>
      </c>
      <c r="C5" s="562">
        <f>IF(COUNT(ProjPays!I$2:I$26)&gt;0,EXP(ProjPays!$F$4*(ProjPays!H3-ProjPays!$F$2))/(1+EXP(ProjPays!$F$4*(ProjPays!H3-ProjPays!$F$2)))*(2*ProjPays!$F$3*EXP(-ProjPays!$F$6*(ProjPays!H3-ProjPays!$F$2))/(1+EXP(-ProjPays!$F$6*(ProjPays!H3-ProjPays!$F$2)))+ProjPays!$F$5),"")</f>
      </c>
      <c r="D5" s="341">
        <f>IF(B5&lt;&gt;"",(ProjPays!I3-C5)^2,"")</f>
      </c>
      <c r="E5" s="339">
        <f>IF(ProjRemaining!I3="","",IF(ProjRemaining!I3="NA","","x"))</f>
      </c>
      <c r="F5" s="562">
        <f>IF(COUNT(ProjRemaining!I$2:I$26)&gt;0,EXP(ProjRemaining!$F$4*(ProjRemaining!H3-ProjRemaining!$F$2))/(1+EXP(ProjRemaining!$F$4*(ProjRemaining!H3-ProjRemaining!$F$2)))*(2*ProjRemaining!$F$3*EXP(-ProjRemaining!$F$6*(ProjRemaining!H3-ProjRemaining!$F$2))/(1+EXP(-ProjRemaining!$F$6*(ProjRemaining!H3-ProjRemaining!$F$2)))+ProjRemaining!$F$5),"")</f>
      </c>
      <c r="G5" s="341">
        <f>IF(E5&lt;&gt;"",(ProjRemaining!I3-F5)^2,"")</f>
      </c>
      <c r="H5" s="339">
        <f>IF(Proj1!I3="","",IF(Proj1!I3="NA","","x"))</f>
      </c>
      <c r="I5" s="562">
        <f>IF(COUNT(Proj1!I$2:I$26)&gt;0,EXP(Proj1!$F$4*(Proj1!H3-Proj1!$F$2))/(1+EXP(Proj1!$F$4*(Proj1!H3-Proj1!$F$2)))*(2*Proj1!$F$3*EXP(-Proj1!$F$6*(Proj1!H3-Proj1!$F$2))/(1+EXP(-Proj1!$F$6*(Proj1!H3-Proj1!$F$2)))+Proj1!$F$5),"")</f>
      </c>
      <c r="J5" s="341">
        <f>IF(H5&lt;&gt;"",(Proj1!I3-I5)^2,"")</f>
      </c>
      <c r="K5" s="339">
        <f>IF(Proj2!I3="","",IF(Proj2!I3="NA","","x"))</f>
      </c>
      <c r="L5" s="562">
        <f>IF(COUNT(Proj2!I$2:I$26)&gt;0,EXP(Proj2!$F$4*(Proj2!H3-Proj2!$F$2))/(1+EXP(Proj2!$F$4*(Proj2!H3-Proj2!$F$2)))*(2*Proj2!$F$3*EXP(-Proj2!$F$6*(Proj2!H3-Proj2!$F$2))/(1+EXP(-Proj2!$F$6*(Proj2!H3-Proj2!$F$2)))+Proj2!$F$5),"")</f>
      </c>
      <c r="M5" s="341">
        <f>IF(K5&lt;&gt;"",(Proj2!I3-L5)^2,"")</f>
      </c>
      <c r="N5" s="339">
        <f>IF(Proj3!I3="","",IF(Proj3!I3="NA","","x"))</f>
      </c>
      <c r="O5" s="562">
        <f>IF(COUNT(Proj3!I$2:I$26)&gt;0,EXP(Proj3!$F$4*(Proj3!H3-Proj3!$F$2))/(1+EXP(Proj3!$F$4*(Proj3!H3-Proj3!$F$2)))*(2*Proj3!$F$3*EXP(-Proj3!$F$6*(Proj3!H3-Proj3!$F$2))/(1+EXP(-Proj3!$F$6*(Proj3!H3-Proj3!$F$2)))+Proj3!$F$5),"")</f>
      </c>
      <c r="P5" s="341">
        <f>IF(N5&lt;&gt;"",(Proj3!I3-O5)^2,"")</f>
      </c>
      <c r="Q5" s="339">
        <f>IF(Proj4!I3="","",IF(Proj4!I3="NA","","x"))</f>
      </c>
      <c r="R5" s="562">
        <f>IF(COUNT(Proj4!I$2:I$26)&gt;0,EXP(Proj4!$F$4*(Proj4!H3-Proj4!$F$2))/(1+EXP(Proj4!$F$4*(Proj4!H3-Proj4!$F$2)))*(2*Proj4!$F$3*EXP(-Proj4!$F$6*(Proj4!H3-Proj4!$F$2))/(1+EXP(-Proj4!$F$6*(Proj4!H3-Proj4!$F$2)))+Proj4!$F$5),"")</f>
      </c>
      <c r="S5" s="341">
        <f>IF(Q5&lt;&gt;"",(Proj4!I3-R5)^2,"")</f>
      </c>
      <c r="T5" s="339">
        <f>IF(Proj5!I3="","",IF(Proj5!I3="NA","","x"))</f>
      </c>
      <c r="U5" s="562">
        <f>IF(COUNT(Proj5!I$2:I$26)&gt;0,EXP(Proj5!$F$4*(Proj5!H3-Proj5!$F$2))/(1+EXP(Proj5!$F$4*(Proj5!H3-Proj5!$F$2)))*(2*Proj5!$F$3*EXP(-Proj5!$F$6*(Proj5!H3-Proj5!$F$2))/(1+EXP(-Proj5!$F$6*(Proj5!H3-Proj5!$F$2)))+Proj5!$F$5),"")</f>
      </c>
      <c r="V5" s="341">
        <f>IF(T5&lt;&gt;"",(Proj5!I3-U5)^2,"")</f>
      </c>
      <c r="W5" s="339">
        <f>IF(Proj6!I3="","",IF(Proj6!I3="NA","","x"))</f>
      </c>
      <c r="X5" s="562">
        <f>IF(COUNT(Proj6!I$2:I$26)&gt;0,EXP(Proj6!$F$4*(Proj6!H3-Proj6!$F$2))/(1+EXP(Proj6!$F$4*(Proj6!H3-Proj6!$F$2)))*(2*Proj6!$F$3*EXP(-Proj6!$F$6*(Proj6!H3-Proj6!$F$2))/(1+EXP(-Proj6!$F$6*(Proj6!H3-Proj6!$F$2)))+Proj6!$F$5),"")</f>
      </c>
      <c r="Y5" s="341">
        <f>IF(W5&lt;&gt;"",(Proj6!I3-X5)^2,"")</f>
      </c>
      <c r="Z5" s="339">
        <f>IF(Proj7!I3="","",IF(Proj7!I3="NA","","x"))</f>
      </c>
      <c r="AA5" s="562">
        <f>IF(COUNT(Proj7!I$2:I$26)&gt;0,EXP(Proj7!$F$4*(Proj7!H3-Proj7!$F$2))/(1+EXP(Proj7!$F$4*(Proj7!H3-Proj7!$F$2)))*(2*Proj7!$F$3*EXP(-Proj7!$F$6*(Proj7!H3-Proj7!$F$2))/(1+EXP(-Proj7!$F$6*(Proj7!H3-Proj7!$F$2)))+Proj7!$F$5),"")</f>
      </c>
      <c r="AB5" s="341">
        <f>IF(Z5&lt;&gt;"",(Proj7!I3-AA5)^2,"")</f>
      </c>
      <c r="AC5" s="339">
        <f>IF(Proj8!I3="","",IF(Proj8!I3="NA","","x"))</f>
      </c>
      <c r="AD5" s="562">
        <f>IF(COUNT(Proj8!I$2:I$26)&gt;0,EXP(Proj8!$F$4*(Proj8!H3-Proj8!$F$2))/(1+EXP(Proj8!$F$4*(Proj8!H3-Proj8!$F$2)))*(2*Proj8!$F$3*EXP(-Proj8!$F$6*(Proj8!H3-Proj8!$F$2))/(1+EXP(-Proj8!$F$6*(Proj8!H3-Proj8!$F$2)))+Proj8!$F$5),"")</f>
      </c>
      <c r="AE5" s="341">
        <f>IF(AC5&lt;&gt;"",(Proj8!I3-AD5)^2,"")</f>
      </c>
      <c r="AF5" s="339">
        <f>IF(Proj9!I3="","",IF(Proj9!I3="NA","","x"))</f>
      </c>
      <c r="AG5" s="562">
        <f>IF(COUNT(Proj9!I$2:I$26)&gt;0,EXP(Proj9!$F$4*(Proj9!H3-Proj9!$F$2))/(1+EXP(Proj9!$F$4*(Proj9!H3-Proj9!$F$2)))*(2*Proj9!$F$3*EXP(-Proj9!$F$6*(Proj9!H3-Proj9!$F$2))/(1+EXP(-Proj9!$F$6*(Proj9!H3-Proj9!$F$2)))+Proj9!$F$5),"")</f>
      </c>
      <c r="AH5" s="341">
        <f>IF(AF5&lt;&gt;"",(Proj9!I3-AG5)^2,"")</f>
      </c>
      <c r="AI5" s="339">
        <f>IF(Proj10!I3="","",IF(Proj10!I3="NA","","x"))</f>
      </c>
      <c r="AJ5" s="562">
        <f>IF(COUNT(Proj10!I$2:I$26)&gt;0,EXP(Proj10!$F$4*(Proj10!H3-Proj10!$F$2))/(1+EXP(Proj10!$F$4*(Proj10!H3-Proj10!$F$2)))*(2*Proj10!$F$3*EXP(-Proj10!$F$6*(Proj10!H3-Proj10!$F$2))/(1+EXP(-Proj10!$F$6*(Proj10!H3-Proj10!$F$2)))+Proj10!$F$5),"")</f>
      </c>
      <c r="AK5" s="341">
        <f>IF(AI5&lt;&gt;"",(Proj10!I3-AJ5)^2,"")</f>
      </c>
    </row>
    <row r="6" spans="1:37" s="342" customFormat="1" ht="12.75">
      <c r="A6" s="507">
        <v>1982</v>
      </c>
      <c r="B6" s="339">
        <f>IF(ProjPays!I4="","",IF(ProjPays!I4="NA","","x"))</f>
      </c>
      <c r="C6" s="562">
        <f>IF(COUNT(ProjPays!I$2:I$26)&gt;0,EXP(ProjPays!$F$4*(ProjPays!H4-ProjPays!$F$2))/(1+EXP(ProjPays!$F$4*(ProjPays!H4-ProjPays!$F$2)))*(2*ProjPays!$F$3*EXP(-ProjPays!$F$6*(ProjPays!H4-ProjPays!$F$2))/(1+EXP(-ProjPays!$F$6*(ProjPays!H4-ProjPays!$F$2)))+ProjPays!$F$5),"")</f>
      </c>
      <c r="D6" s="341">
        <f>IF(B6&lt;&gt;"",(ProjPays!I4-C6)^2,"")</f>
      </c>
      <c r="E6" s="339">
        <f>IF(ProjRemaining!I4="","",IF(ProjRemaining!I4="NA","","x"))</f>
      </c>
      <c r="F6" s="562">
        <f>IF(COUNT(ProjRemaining!I$2:I$26)&gt;0,EXP(ProjRemaining!$F$4*(ProjRemaining!H4-ProjRemaining!$F$2))/(1+EXP(ProjRemaining!$F$4*(ProjRemaining!H4-ProjRemaining!$F$2)))*(2*ProjRemaining!$F$3*EXP(-ProjRemaining!$F$6*(ProjRemaining!H4-ProjRemaining!$F$2))/(1+EXP(-ProjRemaining!$F$6*(ProjRemaining!H4-ProjRemaining!$F$2)))+ProjRemaining!$F$5),"")</f>
      </c>
      <c r="G6" s="341">
        <f>IF(E6&lt;&gt;"",(ProjRemaining!I4-F6)^2,"")</f>
      </c>
      <c r="H6" s="339">
        <f>IF(Proj1!I4="","",IF(Proj1!I4="NA","","x"))</f>
      </c>
      <c r="I6" s="562">
        <f>IF(COUNT(Proj1!I$2:I$26)&gt;0,EXP(Proj1!$F$4*(Proj1!H4-Proj1!$F$2))/(1+EXP(Proj1!$F$4*(Proj1!H4-Proj1!$F$2)))*(2*Proj1!$F$3*EXP(-Proj1!$F$6*(Proj1!H4-Proj1!$F$2))/(1+EXP(-Proj1!$F$6*(Proj1!H4-Proj1!$F$2)))+Proj1!$F$5),"")</f>
      </c>
      <c r="J6" s="341">
        <f>IF(H6&lt;&gt;"",(Proj1!I4-I6)^2,"")</f>
      </c>
      <c r="K6" s="339">
        <f>IF(Proj2!I4="","",IF(Proj2!I4="NA","","x"))</f>
      </c>
      <c r="L6" s="562">
        <f>IF(COUNT(Proj2!I$2:I$26)&gt;0,EXP(Proj2!$F$4*(Proj2!H4-Proj2!$F$2))/(1+EXP(Proj2!$F$4*(Proj2!H4-Proj2!$F$2)))*(2*Proj2!$F$3*EXP(-Proj2!$F$6*(Proj2!H4-Proj2!$F$2))/(1+EXP(-Proj2!$F$6*(Proj2!H4-Proj2!$F$2)))+Proj2!$F$5),"")</f>
      </c>
      <c r="M6" s="341">
        <f>IF(K6&lt;&gt;"",(Proj2!I4-L6)^2,"")</f>
      </c>
      <c r="N6" s="339">
        <f>IF(Proj3!I4="","",IF(Proj3!I4="NA","","x"))</f>
      </c>
      <c r="O6" s="562">
        <f>IF(COUNT(Proj3!I$2:I$26)&gt;0,EXP(Proj3!$F$4*(Proj3!H4-Proj3!$F$2))/(1+EXP(Proj3!$F$4*(Proj3!H4-Proj3!$F$2)))*(2*Proj3!$F$3*EXP(-Proj3!$F$6*(Proj3!H4-Proj3!$F$2))/(1+EXP(-Proj3!$F$6*(Proj3!H4-Proj3!$F$2)))+Proj3!$F$5),"")</f>
      </c>
      <c r="P6" s="341">
        <f>IF(N6&lt;&gt;"",(Proj3!I4-O6)^2,"")</f>
      </c>
      <c r="Q6" s="339">
        <f>IF(Proj4!I4="","",IF(Proj4!I4="NA","","x"))</f>
      </c>
      <c r="R6" s="562">
        <f>IF(COUNT(Proj4!I$2:I$26)&gt;0,EXP(Proj4!$F$4*(Proj4!H4-Proj4!$F$2))/(1+EXP(Proj4!$F$4*(Proj4!H4-Proj4!$F$2)))*(2*Proj4!$F$3*EXP(-Proj4!$F$6*(Proj4!H4-Proj4!$F$2))/(1+EXP(-Proj4!$F$6*(Proj4!H4-Proj4!$F$2)))+Proj4!$F$5),"")</f>
      </c>
      <c r="S6" s="341">
        <f>IF(Q6&lt;&gt;"",(Proj4!I4-R6)^2,"")</f>
      </c>
      <c r="T6" s="339">
        <f>IF(Proj5!I4="","",IF(Proj5!I4="NA","","x"))</f>
      </c>
      <c r="U6" s="562">
        <f>IF(COUNT(Proj5!I$2:I$26)&gt;0,EXP(Proj5!$F$4*(Proj5!H4-Proj5!$F$2))/(1+EXP(Proj5!$F$4*(Proj5!H4-Proj5!$F$2)))*(2*Proj5!$F$3*EXP(-Proj5!$F$6*(Proj5!H4-Proj5!$F$2))/(1+EXP(-Proj5!$F$6*(Proj5!H4-Proj5!$F$2)))+Proj5!$F$5),"")</f>
      </c>
      <c r="V6" s="341">
        <f>IF(T6&lt;&gt;"",(Proj5!I4-U6)^2,"")</f>
      </c>
      <c r="W6" s="339">
        <f>IF(Proj6!I4="","",IF(Proj6!I4="NA","","x"))</f>
      </c>
      <c r="X6" s="562">
        <f>IF(COUNT(Proj6!I$2:I$26)&gt;0,EXP(Proj6!$F$4*(Proj6!H4-Proj6!$F$2))/(1+EXP(Proj6!$F$4*(Proj6!H4-Proj6!$F$2)))*(2*Proj6!$F$3*EXP(-Proj6!$F$6*(Proj6!H4-Proj6!$F$2))/(1+EXP(-Proj6!$F$6*(Proj6!H4-Proj6!$F$2)))+Proj6!$F$5),"")</f>
      </c>
      <c r="Y6" s="341">
        <f>IF(W6&lt;&gt;"",(Proj6!I4-X6)^2,"")</f>
      </c>
      <c r="Z6" s="339">
        <f>IF(Proj7!I4="","",IF(Proj7!I4="NA","","x"))</f>
      </c>
      <c r="AA6" s="562">
        <f>IF(COUNT(Proj7!I$2:I$26)&gt;0,EXP(Proj7!$F$4*(Proj7!H4-Proj7!$F$2))/(1+EXP(Proj7!$F$4*(Proj7!H4-Proj7!$F$2)))*(2*Proj7!$F$3*EXP(-Proj7!$F$6*(Proj7!H4-Proj7!$F$2))/(1+EXP(-Proj7!$F$6*(Proj7!H4-Proj7!$F$2)))+Proj7!$F$5),"")</f>
      </c>
      <c r="AB6" s="341">
        <f>IF(Z6&lt;&gt;"",(Proj7!I4-AA6)^2,"")</f>
      </c>
      <c r="AC6" s="339">
        <f>IF(Proj8!I4="","",IF(Proj8!I4="NA","","x"))</f>
      </c>
      <c r="AD6" s="562">
        <f>IF(COUNT(Proj8!I$2:I$26)&gt;0,EXP(Proj8!$F$4*(Proj8!H4-Proj8!$F$2))/(1+EXP(Proj8!$F$4*(Proj8!H4-Proj8!$F$2)))*(2*Proj8!$F$3*EXP(-Proj8!$F$6*(Proj8!H4-Proj8!$F$2))/(1+EXP(-Proj8!$F$6*(Proj8!H4-Proj8!$F$2)))+Proj8!$F$5),"")</f>
      </c>
      <c r="AE6" s="341">
        <f>IF(AC6&lt;&gt;"",(Proj8!I4-AD6)^2,"")</f>
      </c>
      <c r="AF6" s="339">
        <f>IF(Proj9!I4="","",IF(Proj9!I4="NA","","x"))</f>
      </c>
      <c r="AG6" s="562">
        <f>IF(COUNT(Proj9!I$2:I$26)&gt;0,EXP(Proj9!$F$4*(Proj9!H4-Proj9!$F$2))/(1+EXP(Proj9!$F$4*(Proj9!H4-Proj9!$F$2)))*(2*Proj9!$F$3*EXP(-Proj9!$F$6*(Proj9!H4-Proj9!$F$2))/(1+EXP(-Proj9!$F$6*(Proj9!H4-Proj9!$F$2)))+Proj9!$F$5),"")</f>
      </c>
      <c r="AH6" s="341">
        <f>IF(AF6&lt;&gt;"",(Proj9!I4-AG6)^2,"")</f>
      </c>
      <c r="AI6" s="339">
        <f>IF(Proj10!I4="","",IF(Proj10!I4="NA","","x"))</f>
      </c>
      <c r="AJ6" s="562">
        <f>IF(COUNT(Proj10!I$2:I$26)&gt;0,EXP(Proj10!$F$4*(Proj10!H4-Proj10!$F$2))/(1+EXP(Proj10!$F$4*(Proj10!H4-Proj10!$F$2)))*(2*Proj10!$F$3*EXP(-Proj10!$F$6*(Proj10!H4-Proj10!$F$2))/(1+EXP(-Proj10!$F$6*(Proj10!H4-Proj10!$F$2)))+Proj10!$F$5),"")</f>
      </c>
      <c r="AK6" s="341">
        <f>IF(AI6&lt;&gt;"",(Proj10!I4-AJ6)^2,"")</f>
      </c>
    </row>
    <row r="7" spans="1:37" s="342" customFormat="1" ht="12.75">
      <c r="A7" s="507">
        <v>1983</v>
      </c>
      <c r="B7" s="339">
        <f>IF(ProjPays!I5="","",IF(ProjPays!I5="NA","","x"))</f>
      </c>
      <c r="C7" s="562">
        <f>IF(COUNT(ProjPays!I$2:I$26)&gt;0,EXP(ProjPays!$F$4*(ProjPays!H5-ProjPays!$F$2))/(1+EXP(ProjPays!$F$4*(ProjPays!H5-ProjPays!$F$2)))*(2*ProjPays!$F$3*EXP(-ProjPays!$F$6*(ProjPays!H5-ProjPays!$F$2))/(1+EXP(-ProjPays!$F$6*(ProjPays!H5-ProjPays!$F$2)))+ProjPays!$F$5),"")</f>
      </c>
      <c r="D7" s="341">
        <f>IF(B7&lt;&gt;"",(ProjPays!I5-C7)^2,"")</f>
      </c>
      <c r="E7" s="339">
        <f>IF(ProjRemaining!I5="","",IF(ProjRemaining!I5="NA","","x"))</f>
      </c>
      <c r="F7" s="562">
        <f>IF(COUNT(ProjRemaining!I$2:I$26)&gt;0,EXP(ProjRemaining!$F$4*(ProjRemaining!H5-ProjRemaining!$F$2))/(1+EXP(ProjRemaining!$F$4*(ProjRemaining!H5-ProjRemaining!$F$2)))*(2*ProjRemaining!$F$3*EXP(-ProjRemaining!$F$6*(ProjRemaining!H5-ProjRemaining!$F$2))/(1+EXP(-ProjRemaining!$F$6*(ProjRemaining!H5-ProjRemaining!$F$2)))+ProjRemaining!$F$5),"")</f>
      </c>
      <c r="G7" s="341">
        <f>IF(E7&lt;&gt;"",(ProjRemaining!I5-F7)^2,"")</f>
      </c>
      <c r="H7" s="339">
        <f>IF(Proj1!I5="","",IF(Proj1!I5="NA","","x"))</f>
      </c>
      <c r="I7" s="562">
        <f>IF(COUNT(Proj1!I$2:I$26)&gt;0,EXP(Proj1!$F$4*(Proj1!H5-Proj1!$F$2))/(1+EXP(Proj1!$F$4*(Proj1!H5-Proj1!$F$2)))*(2*Proj1!$F$3*EXP(-Proj1!$F$6*(Proj1!H5-Proj1!$F$2))/(1+EXP(-Proj1!$F$6*(Proj1!H5-Proj1!$F$2)))+Proj1!$F$5),"")</f>
      </c>
      <c r="J7" s="341">
        <f>IF(H7&lt;&gt;"",(Proj1!I5-I7)^2,"")</f>
      </c>
      <c r="K7" s="339">
        <f>IF(Proj2!I5="","",IF(Proj2!I5="NA","","x"))</f>
      </c>
      <c r="L7" s="562">
        <f>IF(COUNT(Proj2!I$2:I$26)&gt;0,EXP(Proj2!$F$4*(Proj2!H5-Proj2!$F$2))/(1+EXP(Proj2!$F$4*(Proj2!H5-Proj2!$F$2)))*(2*Proj2!$F$3*EXP(-Proj2!$F$6*(Proj2!H5-Proj2!$F$2))/(1+EXP(-Proj2!$F$6*(Proj2!H5-Proj2!$F$2)))+Proj2!$F$5),"")</f>
      </c>
      <c r="M7" s="341">
        <f>IF(K7&lt;&gt;"",(Proj2!I5-L7)^2,"")</f>
      </c>
      <c r="N7" s="339">
        <f>IF(Proj3!I5="","",IF(Proj3!I5="NA","","x"))</f>
      </c>
      <c r="O7" s="562">
        <f>IF(COUNT(Proj3!I$2:I$26)&gt;0,EXP(Proj3!$F$4*(Proj3!H5-Proj3!$F$2))/(1+EXP(Proj3!$F$4*(Proj3!H5-Proj3!$F$2)))*(2*Proj3!$F$3*EXP(-Proj3!$F$6*(Proj3!H5-Proj3!$F$2))/(1+EXP(-Proj3!$F$6*(Proj3!H5-Proj3!$F$2)))+Proj3!$F$5),"")</f>
      </c>
      <c r="P7" s="341">
        <f>IF(N7&lt;&gt;"",(Proj3!I5-O7)^2,"")</f>
      </c>
      <c r="Q7" s="339">
        <f>IF(Proj4!I5="","",IF(Proj4!I5="NA","","x"))</f>
      </c>
      <c r="R7" s="562">
        <f>IF(COUNT(Proj4!I$2:I$26)&gt;0,EXP(Proj4!$F$4*(Proj4!H5-Proj4!$F$2))/(1+EXP(Proj4!$F$4*(Proj4!H5-Proj4!$F$2)))*(2*Proj4!$F$3*EXP(-Proj4!$F$6*(Proj4!H5-Proj4!$F$2))/(1+EXP(-Proj4!$F$6*(Proj4!H5-Proj4!$F$2)))+Proj4!$F$5),"")</f>
      </c>
      <c r="S7" s="341">
        <f>IF(Q7&lt;&gt;"",(Proj4!I5-R7)^2,"")</f>
      </c>
      <c r="T7" s="339">
        <f>IF(Proj5!I5="","",IF(Proj5!I5="NA","","x"))</f>
      </c>
      <c r="U7" s="562">
        <f>IF(COUNT(Proj5!I$2:I$26)&gt;0,EXP(Proj5!$F$4*(Proj5!H5-Proj5!$F$2))/(1+EXP(Proj5!$F$4*(Proj5!H5-Proj5!$F$2)))*(2*Proj5!$F$3*EXP(-Proj5!$F$6*(Proj5!H5-Proj5!$F$2))/(1+EXP(-Proj5!$F$6*(Proj5!H5-Proj5!$F$2)))+Proj5!$F$5),"")</f>
      </c>
      <c r="V7" s="341">
        <f>IF(T7&lt;&gt;"",(Proj5!I5-U7)^2,"")</f>
      </c>
      <c r="W7" s="339">
        <f>IF(Proj6!I5="","",IF(Proj6!I5="NA","","x"))</f>
      </c>
      <c r="X7" s="562">
        <f>IF(COUNT(Proj6!I$2:I$26)&gt;0,EXP(Proj6!$F$4*(Proj6!H5-Proj6!$F$2))/(1+EXP(Proj6!$F$4*(Proj6!H5-Proj6!$F$2)))*(2*Proj6!$F$3*EXP(-Proj6!$F$6*(Proj6!H5-Proj6!$F$2))/(1+EXP(-Proj6!$F$6*(Proj6!H5-Proj6!$F$2)))+Proj6!$F$5),"")</f>
      </c>
      <c r="Y7" s="341">
        <f>IF(W7&lt;&gt;"",(Proj6!I5-X7)^2,"")</f>
      </c>
      <c r="Z7" s="339">
        <f>IF(Proj7!I5="","",IF(Proj7!I5="NA","","x"))</f>
      </c>
      <c r="AA7" s="562">
        <f>IF(COUNT(Proj7!I$2:I$26)&gt;0,EXP(Proj7!$F$4*(Proj7!H5-Proj7!$F$2))/(1+EXP(Proj7!$F$4*(Proj7!H5-Proj7!$F$2)))*(2*Proj7!$F$3*EXP(-Proj7!$F$6*(Proj7!H5-Proj7!$F$2))/(1+EXP(-Proj7!$F$6*(Proj7!H5-Proj7!$F$2)))+Proj7!$F$5),"")</f>
      </c>
      <c r="AB7" s="341">
        <f>IF(Z7&lt;&gt;"",(Proj7!I5-AA7)^2,"")</f>
      </c>
      <c r="AC7" s="339">
        <f>IF(Proj8!I5="","",IF(Proj8!I5="NA","","x"))</f>
      </c>
      <c r="AD7" s="562">
        <f>IF(COUNT(Proj8!I$2:I$26)&gt;0,EXP(Proj8!$F$4*(Proj8!H5-Proj8!$F$2))/(1+EXP(Proj8!$F$4*(Proj8!H5-Proj8!$F$2)))*(2*Proj8!$F$3*EXP(-Proj8!$F$6*(Proj8!H5-Proj8!$F$2))/(1+EXP(-Proj8!$F$6*(Proj8!H5-Proj8!$F$2)))+Proj8!$F$5),"")</f>
      </c>
      <c r="AE7" s="341">
        <f>IF(AC7&lt;&gt;"",(Proj8!I5-AD7)^2,"")</f>
      </c>
      <c r="AF7" s="339">
        <f>IF(Proj9!I5="","",IF(Proj9!I5="NA","","x"))</f>
      </c>
      <c r="AG7" s="562">
        <f>IF(COUNT(Proj9!I$2:I$26)&gt;0,EXP(Proj9!$F$4*(Proj9!H5-Proj9!$F$2))/(1+EXP(Proj9!$F$4*(Proj9!H5-Proj9!$F$2)))*(2*Proj9!$F$3*EXP(-Proj9!$F$6*(Proj9!H5-Proj9!$F$2))/(1+EXP(-Proj9!$F$6*(Proj9!H5-Proj9!$F$2)))+Proj9!$F$5),"")</f>
      </c>
      <c r="AH7" s="341">
        <f>IF(AF7&lt;&gt;"",(Proj9!I5-AG7)^2,"")</f>
      </c>
      <c r="AI7" s="339">
        <f>IF(Proj10!I5="","",IF(Proj10!I5="NA","","x"))</f>
      </c>
      <c r="AJ7" s="562">
        <f>IF(COUNT(Proj10!I$2:I$26)&gt;0,EXP(Proj10!$F$4*(Proj10!H5-Proj10!$F$2))/(1+EXP(Proj10!$F$4*(Proj10!H5-Proj10!$F$2)))*(2*Proj10!$F$3*EXP(-Proj10!$F$6*(Proj10!H5-Proj10!$F$2))/(1+EXP(-Proj10!$F$6*(Proj10!H5-Proj10!$F$2)))+Proj10!$F$5),"")</f>
      </c>
      <c r="AK7" s="341">
        <f>IF(AI7&lt;&gt;"",(Proj10!I5-AJ7)^2,"")</f>
      </c>
    </row>
    <row r="8" spans="1:37" s="342" customFormat="1" ht="12.75">
      <c r="A8" s="507">
        <v>1984</v>
      </c>
      <c r="B8" s="339">
        <f>IF(ProjPays!I6="","",IF(ProjPays!I6="NA","","x"))</f>
      </c>
      <c r="C8" s="562">
        <f>IF(COUNT(ProjPays!I$2:I$26)&gt;0,EXP(ProjPays!$F$4*(ProjPays!H6-ProjPays!$F$2))/(1+EXP(ProjPays!$F$4*(ProjPays!H6-ProjPays!$F$2)))*(2*ProjPays!$F$3*EXP(-ProjPays!$F$6*(ProjPays!H6-ProjPays!$F$2))/(1+EXP(-ProjPays!$F$6*(ProjPays!H6-ProjPays!$F$2)))+ProjPays!$F$5),"")</f>
      </c>
      <c r="D8" s="341">
        <f>IF(B8&lt;&gt;"",(ProjPays!I6-C8)^2,"")</f>
      </c>
      <c r="E8" s="339">
        <f>IF(ProjRemaining!I6="","",IF(ProjRemaining!I6="NA","","x"))</f>
      </c>
      <c r="F8" s="562">
        <f>IF(COUNT(ProjRemaining!I$2:I$26)&gt;0,EXP(ProjRemaining!$F$4*(ProjRemaining!H6-ProjRemaining!$F$2))/(1+EXP(ProjRemaining!$F$4*(ProjRemaining!H6-ProjRemaining!$F$2)))*(2*ProjRemaining!$F$3*EXP(-ProjRemaining!$F$6*(ProjRemaining!H6-ProjRemaining!$F$2))/(1+EXP(-ProjRemaining!$F$6*(ProjRemaining!H6-ProjRemaining!$F$2)))+ProjRemaining!$F$5),"")</f>
      </c>
      <c r="G8" s="341">
        <f>IF(E8&lt;&gt;"",(ProjRemaining!I6-F8)^2,"")</f>
      </c>
      <c r="H8" s="339">
        <f>IF(Proj1!I6="","",IF(Proj1!I6="NA","","x"))</f>
      </c>
      <c r="I8" s="562">
        <f>IF(COUNT(Proj1!I$2:I$26)&gt;0,EXP(Proj1!$F$4*(Proj1!H6-Proj1!$F$2))/(1+EXP(Proj1!$F$4*(Proj1!H6-Proj1!$F$2)))*(2*Proj1!$F$3*EXP(-Proj1!$F$6*(Proj1!H6-Proj1!$F$2))/(1+EXP(-Proj1!$F$6*(Proj1!H6-Proj1!$F$2)))+Proj1!$F$5),"")</f>
      </c>
      <c r="J8" s="341">
        <f>IF(H8&lt;&gt;"",(Proj1!I6-I8)^2,"")</f>
      </c>
      <c r="K8" s="339">
        <f>IF(Proj2!I6="","",IF(Proj2!I6="NA","","x"))</f>
      </c>
      <c r="L8" s="562">
        <f>IF(COUNT(Proj2!I$2:I$26)&gt;0,EXP(Proj2!$F$4*(Proj2!H6-Proj2!$F$2))/(1+EXP(Proj2!$F$4*(Proj2!H6-Proj2!$F$2)))*(2*Proj2!$F$3*EXP(-Proj2!$F$6*(Proj2!H6-Proj2!$F$2))/(1+EXP(-Proj2!$F$6*(Proj2!H6-Proj2!$F$2)))+Proj2!$F$5),"")</f>
      </c>
      <c r="M8" s="341">
        <f>IF(K8&lt;&gt;"",(Proj2!I6-L8)^2,"")</f>
      </c>
      <c r="N8" s="339">
        <f>IF(Proj3!I6="","",IF(Proj3!I6="NA","","x"))</f>
      </c>
      <c r="O8" s="562">
        <f>IF(COUNT(Proj3!I$2:I$26)&gt;0,EXP(Proj3!$F$4*(Proj3!H6-Proj3!$F$2))/(1+EXP(Proj3!$F$4*(Proj3!H6-Proj3!$F$2)))*(2*Proj3!$F$3*EXP(-Proj3!$F$6*(Proj3!H6-Proj3!$F$2))/(1+EXP(-Proj3!$F$6*(Proj3!H6-Proj3!$F$2)))+Proj3!$F$5),"")</f>
      </c>
      <c r="P8" s="341">
        <f>IF(N8&lt;&gt;"",(Proj3!I6-O8)^2,"")</f>
      </c>
      <c r="Q8" s="339">
        <f>IF(Proj4!I6="","",IF(Proj4!I6="NA","","x"))</f>
      </c>
      <c r="R8" s="562">
        <f>IF(COUNT(Proj4!I$2:I$26)&gt;0,EXP(Proj4!$F$4*(Proj4!H6-Proj4!$F$2))/(1+EXP(Proj4!$F$4*(Proj4!H6-Proj4!$F$2)))*(2*Proj4!$F$3*EXP(-Proj4!$F$6*(Proj4!H6-Proj4!$F$2))/(1+EXP(-Proj4!$F$6*(Proj4!H6-Proj4!$F$2)))+Proj4!$F$5),"")</f>
      </c>
      <c r="S8" s="341">
        <f>IF(Q8&lt;&gt;"",(Proj4!I6-R8)^2,"")</f>
      </c>
      <c r="T8" s="339">
        <f>IF(Proj5!I6="","",IF(Proj5!I6="NA","","x"))</f>
      </c>
      <c r="U8" s="562">
        <f>IF(COUNT(Proj5!I$2:I$26)&gt;0,EXP(Proj5!$F$4*(Proj5!H6-Proj5!$F$2))/(1+EXP(Proj5!$F$4*(Proj5!H6-Proj5!$F$2)))*(2*Proj5!$F$3*EXP(-Proj5!$F$6*(Proj5!H6-Proj5!$F$2))/(1+EXP(-Proj5!$F$6*(Proj5!H6-Proj5!$F$2)))+Proj5!$F$5),"")</f>
      </c>
      <c r="V8" s="341">
        <f>IF(T8&lt;&gt;"",(Proj5!I6-U8)^2,"")</f>
      </c>
      <c r="W8" s="339">
        <f>IF(Proj6!I6="","",IF(Proj6!I6="NA","","x"))</f>
      </c>
      <c r="X8" s="562">
        <f>IF(COUNT(Proj6!I$2:I$26)&gt;0,EXP(Proj6!$F$4*(Proj6!H6-Proj6!$F$2))/(1+EXP(Proj6!$F$4*(Proj6!H6-Proj6!$F$2)))*(2*Proj6!$F$3*EXP(-Proj6!$F$6*(Proj6!H6-Proj6!$F$2))/(1+EXP(-Proj6!$F$6*(Proj6!H6-Proj6!$F$2)))+Proj6!$F$5),"")</f>
      </c>
      <c r="Y8" s="341">
        <f>IF(W8&lt;&gt;"",(Proj6!I6-X8)^2,"")</f>
      </c>
      <c r="Z8" s="339">
        <f>IF(Proj7!I6="","",IF(Proj7!I6="NA","","x"))</f>
      </c>
      <c r="AA8" s="562">
        <f>IF(COUNT(Proj7!I$2:I$26)&gt;0,EXP(Proj7!$F$4*(Proj7!H6-Proj7!$F$2))/(1+EXP(Proj7!$F$4*(Proj7!H6-Proj7!$F$2)))*(2*Proj7!$F$3*EXP(-Proj7!$F$6*(Proj7!H6-Proj7!$F$2))/(1+EXP(-Proj7!$F$6*(Proj7!H6-Proj7!$F$2)))+Proj7!$F$5),"")</f>
      </c>
      <c r="AB8" s="341">
        <f>IF(Z8&lt;&gt;"",(Proj7!I6-AA8)^2,"")</f>
      </c>
      <c r="AC8" s="339">
        <f>IF(Proj8!I6="","",IF(Proj8!I6="NA","","x"))</f>
      </c>
      <c r="AD8" s="562">
        <f>IF(COUNT(Proj8!I$2:I$26)&gt;0,EXP(Proj8!$F$4*(Proj8!H6-Proj8!$F$2))/(1+EXP(Proj8!$F$4*(Proj8!H6-Proj8!$F$2)))*(2*Proj8!$F$3*EXP(-Proj8!$F$6*(Proj8!H6-Proj8!$F$2))/(1+EXP(-Proj8!$F$6*(Proj8!H6-Proj8!$F$2)))+Proj8!$F$5),"")</f>
      </c>
      <c r="AE8" s="341">
        <f>IF(AC8&lt;&gt;"",(Proj8!I6-AD8)^2,"")</f>
      </c>
      <c r="AF8" s="339">
        <f>IF(Proj9!I6="","",IF(Proj9!I6="NA","","x"))</f>
      </c>
      <c r="AG8" s="562">
        <f>IF(COUNT(Proj9!I$2:I$26)&gt;0,EXP(Proj9!$F$4*(Proj9!H6-Proj9!$F$2))/(1+EXP(Proj9!$F$4*(Proj9!H6-Proj9!$F$2)))*(2*Proj9!$F$3*EXP(-Proj9!$F$6*(Proj9!H6-Proj9!$F$2))/(1+EXP(-Proj9!$F$6*(Proj9!H6-Proj9!$F$2)))+Proj9!$F$5),"")</f>
      </c>
      <c r="AH8" s="341">
        <f>IF(AF8&lt;&gt;"",(Proj9!I6-AG8)^2,"")</f>
      </c>
      <c r="AI8" s="339">
        <f>IF(Proj10!I6="","",IF(Proj10!I6="NA","","x"))</f>
      </c>
      <c r="AJ8" s="562">
        <f>IF(COUNT(Proj10!I$2:I$26)&gt;0,EXP(Proj10!$F$4*(Proj10!H6-Proj10!$F$2))/(1+EXP(Proj10!$F$4*(Proj10!H6-Proj10!$F$2)))*(2*Proj10!$F$3*EXP(-Proj10!$F$6*(Proj10!H6-Proj10!$F$2))/(1+EXP(-Proj10!$F$6*(Proj10!H6-Proj10!$F$2)))+Proj10!$F$5),"")</f>
      </c>
      <c r="AK8" s="341">
        <f>IF(AI8&lt;&gt;"",(Proj10!I6-AJ8)^2,"")</f>
      </c>
    </row>
    <row r="9" spans="1:37" s="342" customFormat="1" ht="12.75">
      <c r="A9" s="507">
        <v>1985</v>
      </c>
      <c r="B9" s="339">
        <f>IF(ProjPays!I7="","",IF(ProjPays!I7="NA","","x"))</f>
      </c>
      <c r="C9" s="562">
        <f>IF(COUNT(ProjPays!I$2:I$26)&gt;0,EXP(ProjPays!$F$4*(ProjPays!H7-ProjPays!$F$2))/(1+EXP(ProjPays!$F$4*(ProjPays!H7-ProjPays!$F$2)))*(2*ProjPays!$F$3*EXP(-ProjPays!$F$6*(ProjPays!H7-ProjPays!$F$2))/(1+EXP(-ProjPays!$F$6*(ProjPays!H7-ProjPays!$F$2)))+ProjPays!$F$5),"")</f>
      </c>
      <c r="D9" s="341">
        <f>IF(B9&lt;&gt;"",(ProjPays!I7-C9)^2,"")</f>
      </c>
      <c r="E9" s="339">
        <f>IF(ProjRemaining!I7="","",IF(ProjRemaining!I7="NA","","x"))</f>
      </c>
      <c r="F9" s="562">
        <f>IF(COUNT(ProjRemaining!I$2:I$26)&gt;0,EXP(ProjRemaining!$F$4*(ProjRemaining!H7-ProjRemaining!$F$2))/(1+EXP(ProjRemaining!$F$4*(ProjRemaining!H7-ProjRemaining!$F$2)))*(2*ProjRemaining!$F$3*EXP(-ProjRemaining!$F$6*(ProjRemaining!H7-ProjRemaining!$F$2))/(1+EXP(-ProjRemaining!$F$6*(ProjRemaining!H7-ProjRemaining!$F$2)))+ProjRemaining!$F$5),"")</f>
      </c>
      <c r="G9" s="341">
        <f>IF(E9&lt;&gt;"",(ProjRemaining!I7-F9)^2,"")</f>
      </c>
      <c r="H9" s="339">
        <f>IF(Proj1!I7="","",IF(Proj1!I7="NA","","x"))</f>
      </c>
      <c r="I9" s="562">
        <f>IF(COUNT(Proj1!I$2:I$26)&gt;0,EXP(Proj1!$F$4*(Proj1!H7-Proj1!$F$2))/(1+EXP(Proj1!$F$4*(Proj1!H7-Proj1!$F$2)))*(2*Proj1!$F$3*EXP(-Proj1!$F$6*(Proj1!H7-Proj1!$F$2))/(1+EXP(-Proj1!$F$6*(Proj1!H7-Proj1!$F$2)))+Proj1!$F$5),"")</f>
      </c>
      <c r="J9" s="341">
        <f>IF(H9&lt;&gt;"",(Proj1!I7-I9)^2,"")</f>
      </c>
      <c r="K9" s="339">
        <f>IF(Proj2!I7="","",IF(Proj2!I7="NA","","x"))</f>
      </c>
      <c r="L9" s="562">
        <f>IF(COUNT(Proj2!I$2:I$26)&gt;0,EXP(Proj2!$F$4*(Proj2!H7-Proj2!$F$2))/(1+EXP(Proj2!$F$4*(Proj2!H7-Proj2!$F$2)))*(2*Proj2!$F$3*EXP(-Proj2!$F$6*(Proj2!H7-Proj2!$F$2))/(1+EXP(-Proj2!$F$6*(Proj2!H7-Proj2!$F$2)))+Proj2!$F$5),"")</f>
      </c>
      <c r="M9" s="341">
        <f>IF(K9&lt;&gt;"",(Proj2!I7-L9)^2,"")</f>
      </c>
      <c r="N9" s="339">
        <f>IF(Proj3!I7="","",IF(Proj3!I7="NA","","x"))</f>
      </c>
      <c r="O9" s="562">
        <f>IF(COUNT(Proj3!I$2:I$26)&gt;0,EXP(Proj3!$F$4*(Proj3!H7-Proj3!$F$2))/(1+EXP(Proj3!$F$4*(Proj3!H7-Proj3!$F$2)))*(2*Proj3!$F$3*EXP(-Proj3!$F$6*(Proj3!H7-Proj3!$F$2))/(1+EXP(-Proj3!$F$6*(Proj3!H7-Proj3!$F$2)))+Proj3!$F$5),"")</f>
      </c>
      <c r="P9" s="341">
        <f>IF(N9&lt;&gt;"",(Proj3!I7-O9)^2,"")</f>
      </c>
      <c r="Q9" s="339">
        <f>IF(Proj4!I7="","",IF(Proj4!I7="NA","","x"))</f>
      </c>
      <c r="R9" s="562">
        <f>IF(COUNT(Proj4!I$2:I$26)&gt;0,EXP(Proj4!$F$4*(Proj4!H7-Proj4!$F$2))/(1+EXP(Proj4!$F$4*(Proj4!H7-Proj4!$F$2)))*(2*Proj4!$F$3*EXP(-Proj4!$F$6*(Proj4!H7-Proj4!$F$2))/(1+EXP(-Proj4!$F$6*(Proj4!H7-Proj4!$F$2)))+Proj4!$F$5),"")</f>
      </c>
      <c r="S9" s="341">
        <f>IF(Q9&lt;&gt;"",(Proj4!I7-R9)^2,"")</f>
      </c>
      <c r="T9" s="339">
        <f>IF(Proj5!I7="","",IF(Proj5!I7="NA","","x"))</f>
      </c>
      <c r="U9" s="562">
        <f>IF(COUNT(Proj5!I$2:I$26)&gt;0,EXP(Proj5!$F$4*(Proj5!H7-Proj5!$F$2))/(1+EXP(Proj5!$F$4*(Proj5!H7-Proj5!$F$2)))*(2*Proj5!$F$3*EXP(-Proj5!$F$6*(Proj5!H7-Proj5!$F$2))/(1+EXP(-Proj5!$F$6*(Proj5!H7-Proj5!$F$2)))+Proj5!$F$5),"")</f>
      </c>
      <c r="V9" s="341">
        <f>IF(T9&lt;&gt;"",(Proj5!I7-U9)^2,"")</f>
      </c>
      <c r="W9" s="339">
        <f>IF(Proj6!I7="","",IF(Proj6!I7="NA","","x"))</f>
      </c>
      <c r="X9" s="562">
        <f>IF(COUNT(Proj6!I$2:I$26)&gt;0,EXP(Proj6!$F$4*(Proj6!H7-Proj6!$F$2))/(1+EXP(Proj6!$F$4*(Proj6!H7-Proj6!$F$2)))*(2*Proj6!$F$3*EXP(-Proj6!$F$6*(Proj6!H7-Proj6!$F$2))/(1+EXP(-Proj6!$F$6*(Proj6!H7-Proj6!$F$2)))+Proj6!$F$5),"")</f>
      </c>
      <c r="Y9" s="341">
        <f>IF(W9&lt;&gt;"",(Proj6!I7-X9)^2,"")</f>
      </c>
      <c r="Z9" s="339">
        <f>IF(Proj7!I7="","",IF(Proj7!I7="NA","","x"))</f>
      </c>
      <c r="AA9" s="562">
        <f>IF(COUNT(Proj7!I$2:I$26)&gt;0,EXP(Proj7!$F$4*(Proj7!H7-Proj7!$F$2))/(1+EXP(Proj7!$F$4*(Proj7!H7-Proj7!$F$2)))*(2*Proj7!$F$3*EXP(-Proj7!$F$6*(Proj7!H7-Proj7!$F$2))/(1+EXP(-Proj7!$F$6*(Proj7!H7-Proj7!$F$2)))+Proj7!$F$5),"")</f>
      </c>
      <c r="AB9" s="341">
        <f>IF(Z9&lt;&gt;"",(Proj7!I7-AA9)^2,"")</f>
      </c>
      <c r="AC9" s="339">
        <f>IF(Proj8!I7="","",IF(Proj8!I7="NA","","x"))</f>
      </c>
      <c r="AD9" s="562">
        <f>IF(COUNT(Proj8!I$2:I$26)&gt;0,EXP(Proj8!$F$4*(Proj8!H7-Proj8!$F$2))/(1+EXP(Proj8!$F$4*(Proj8!H7-Proj8!$F$2)))*(2*Proj8!$F$3*EXP(-Proj8!$F$6*(Proj8!H7-Proj8!$F$2))/(1+EXP(-Proj8!$F$6*(Proj8!H7-Proj8!$F$2)))+Proj8!$F$5),"")</f>
      </c>
      <c r="AE9" s="341">
        <f>IF(AC9&lt;&gt;"",(Proj8!I7-AD9)^2,"")</f>
      </c>
      <c r="AF9" s="339">
        <f>IF(Proj9!I7="","",IF(Proj9!I7="NA","","x"))</f>
      </c>
      <c r="AG9" s="562">
        <f>IF(COUNT(Proj9!I$2:I$26)&gt;0,EXP(Proj9!$F$4*(Proj9!H7-Proj9!$F$2))/(1+EXP(Proj9!$F$4*(Proj9!H7-Proj9!$F$2)))*(2*Proj9!$F$3*EXP(-Proj9!$F$6*(Proj9!H7-Proj9!$F$2))/(1+EXP(-Proj9!$F$6*(Proj9!H7-Proj9!$F$2)))+Proj9!$F$5),"")</f>
      </c>
      <c r="AH9" s="341">
        <f>IF(AF9&lt;&gt;"",(Proj9!I7-AG9)^2,"")</f>
      </c>
      <c r="AI9" s="339">
        <f>IF(Proj10!I7="","",IF(Proj10!I7="NA","","x"))</f>
      </c>
      <c r="AJ9" s="562">
        <f>IF(COUNT(Proj10!I$2:I$26)&gt;0,EXP(Proj10!$F$4*(Proj10!H7-Proj10!$F$2))/(1+EXP(Proj10!$F$4*(Proj10!H7-Proj10!$F$2)))*(2*Proj10!$F$3*EXP(-Proj10!$F$6*(Proj10!H7-Proj10!$F$2))/(1+EXP(-Proj10!$F$6*(Proj10!H7-Proj10!$F$2)))+Proj10!$F$5),"")</f>
      </c>
      <c r="AK9" s="341">
        <f>IF(AI9&lt;&gt;"",(Proj10!I7-AJ9)^2,"")</f>
      </c>
    </row>
    <row r="10" spans="1:37" s="342" customFormat="1" ht="12.75">
      <c r="A10" s="507">
        <v>1986</v>
      </c>
      <c r="B10" s="339">
        <f>IF(ProjPays!I8="","",IF(ProjPays!I8="NA","","x"))</f>
      </c>
      <c r="C10" s="562">
        <f>IF(COUNT(ProjPays!I$2:I$26)&gt;0,EXP(ProjPays!$F$4*(ProjPays!H8-ProjPays!$F$2))/(1+EXP(ProjPays!$F$4*(ProjPays!H8-ProjPays!$F$2)))*(2*ProjPays!$F$3*EXP(-ProjPays!$F$6*(ProjPays!H8-ProjPays!$F$2))/(1+EXP(-ProjPays!$F$6*(ProjPays!H8-ProjPays!$F$2)))+ProjPays!$F$5),"")</f>
      </c>
      <c r="D10" s="341">
        <f>IF(B10&lt;&gt;"",(ProjPays!I8-C10)^2,"")</f>
      </c>
      <c r="E10" s="339">
        <f>IF(ProjRemaining!I8="","",IF(ProjRemaining!I8="NA","","x"))</f>
      </c>
      <c r="F10" s="562">
        <f>IF(COUNT(ProjRemaining!I$2:I$26)&gt;0,EXP(ProjRemaining!$F$4*(ProjRemaining!H8-ProjRemaining!$F$2))/(1+EXP(ProjRemaining!$F$4*(ProjRemaining!H8-ProjRemaining!$F$2)))*(2*ProjRemaining!$F$3*EXP(-ProjRemaining!$F$6*(ProjRemaining!H8-ProjRemaining!$F$2))/(1+EXP(-ProjRemaining!$F$6*(ProjRemaining!H8-ProjRemaining!$F$2)))+ProjRemaining!$F$5),"")</f>
      </c>
      <c r="G10" s="341">
        <f>IF(E10&lt;&gt;"",(ProjRemaining!I8-F10)^2,"")</f>
      </c>
      <c r="H10" s="339">
        <f>IF(Proj1!I8="","",IF(Proj1!I8="NA","","x"))</f>
      </c>
      <c r="I10" s="562">
        <f>IF(COUNT(Proj1!I$2:I$26)&gt;0,EXP(Proj1!$F$4*(Proj1!H8-Proj1!$F$2))/(1+EXP(Proj1!$F$4*(Proj1!H8-Proj1!$F$2)))*(2*Proj1!$F$3*EXP(-Proj1!$F$6*(Proj1!H8-Proj1!$F$2))/(1+EXP(-Proj1!$F$6*(Proj1!H8-Proj1!$F$2)))+Proj1!$F$5),"")</f>
      </c>
      <c r="J10" s="341">
        <f>IF(H10&lt;&gt;"",(Proj1!I8-I10)^2,"")</f>
      </c>
      <c r="K10" s="339">
        <f>IF(Proj2!I8="","",IF(Proj2!I8="NA","","x"))</f>
      </c>
      <c r="L10" s="562">
        <f>IF(COUNT(Proj2!I$2:I$26)&gt;0,EXP(Proj2!$F$4*(Proj2!H8-Proj2!$F$2))/(1+EXP(Proj2!$F$4*(Proj2!H8-Proj2!$F$2)))*(2*Proj2!$F$3*EXP(-Proj2!$F$6*(Proj2!H8-Proj2!$F$2))/(1+EXP(-Proj2!$F$6*(Proj2!H8-Proj2!$F$2)))+Proj2!$F$5),"")</f>
      </c>
      <c r="M10" s="341">
        <f>IF(K10&lt;&gt;"",(Proj2!I8-L10)^2,"")</f>
      </c>
      <c r="N10" s="339">
        <f>IF(Proj3!I8="","",IF(Proj3!I8="NA","","x"))</f>
      </c>
      <c r="O10" s="562">
        <f>IF(COUNT(Proj3!I$2:I$26)&gt;0,EXP(Proj3!$F$4*(Proj3!H8-Proj3!$F$2))/(1+EXP(Proj3!$F$4*(Proj3!H8-Proj3!$F$2)))*(2*Proj3!$F$3*EXP(-Proj3!$F$6*(Proj3!H8-Proj3!$F$2))/(1+EXP(-Proj3!$F$6*(Proj3!H8-Proj3!$F$2)))+Proj3!$F$5),"")</f>
      </c>
      <c r="P10" s="341">
        <f>IF(N10&lt;&gt;"",(Proj3!I8-O10)^2,"")</f>
      </c>
      <c r="Q10" s="339">
        <f>IF(Proj4!I8="","",IF(Proj4!I8="NA","","x"))</f>
      </c>
      <c r="R10" s="562">
        <f>IF(COUNT(Proj4!I$2:I$26)&gt;0,EXP(Proj4!$F$4*(Proj4!H8-Proj4!$F$2))/(1+EXP(Proj4!$F$4*(Proj4!H8-Proj4!$F$2)))*(2*Proj4!$F$3*EXP(-Proj4!$F$6*(Proj4!H8-Proj4!$F$2))/(1+EXP(-Proj4!$F$6*(Proj4!H8-Proj4!$F$2)))+Proj4!$F$5),"")</f>
      </c>
      <c r="S10" s="341">
        <f>IF(Q10&lt;&gt;"",(Proj4!I8-R10)^2,"")</f>
      </c>
      <c r="T10" s="339">
        <f>IF(Proj5!I8="","",IF(Proj5!I8="NA","","x"))</f>
      </c>
      <c r="U10" s="562">
        <f>IF(COUNT(Proj5!I$2:I$26)&gt;0,EXP(Proj5!$F$4*(Proj5!H8-Proj5!$F$2))/(1+EXP(Proj5!$F$4*(Proj5!H8-Proj5!$F$2)))*(2*Proj5!$F$3*EXP(-Proj5!$F$6*(Proj5!H8-Proj5!$F$2))/(1+EXP(-Proj5!$F$6*(Proj5!H8-Proj5!$F$2)))+Proj5!$F$5),"")</f>
      </c>
      <c r="V10" s="341">
        <f>IF(T10&lt;&gt;"",(Proj5!I8-U10)^2,"")</f>
      </c>
      <c r="W10" s="339">
        <f>IF(Proj6!I8="","",IF(Proj6!I8="NA","","x"))</f>
      </c>
      <c r="X10" s="562">
        <f>IF(COUNT(Proj6!I$2:I$26)&gt;0,EXP(Proj6!$F$4*(Proj6!H8-Proj6!$F$2))/(1+EXP(Proj6!$F$4*(Proj6!H8-Proj6!$F$2)))*(2*Proj6!$F$3*EXP(-Proj6!$F$6*(Proj6!H8-Proj6!$F$2))/(1+EXP(-Proj6!$F$6*(Proj6!H8-Proj6!$F$2)))+Proj6!$F$5),"")</f>
      </c>
      <c r="Y10" s="341">
        <f>IF(W10&lt;&gt;"",(Proj6!I8-X10)^2,"")</f>
      </c>
      <c r="Z10" s="339">
        <f>IF(Proj7!I8="","",IF(Proj7!I8="NA","","x"))</f>
      </c>
      <c r="AA10" s="562">
        <f>IF(COUNT(Proj7!I$2:I$26)&gt;0,EXP(Proj7!$F$4*(Proj7!H8-Proj7!$F$2))/(1+EXP(Proj7!$F$4*(Proj7!H8-Proj7!$F$2)))*(2*Proj7!$F$3*EXP(-Proj7!$F$6*(Proj7!H8-Proj7!$F$2))/(1+EXP(-Proj7!$F$6*(Proj7!H8-Proj7!$F$2)))+Proj7!$F$5),"")</f>
      </c>
      <c r="AB10" s="341">
        <f>IF(Z10&lt;&gt;"",(Proj7!I8-AA10)^2,"")</f>
      </c>
      <c r="AC10" s="339">
        <f>IF(Proj8!I8="","",IF(Proj8!I8="NA","","x"))</f>
      </c>
      <c r="AD10" s="562">
        <f>IF(COUNT(Proj8!I$2:I$26)&gt;0,EXP(Proj8!$F$4*(Proj8!H8-Proj8!$F$2))/(1+EXP(Proj8!$F$4*(Proj8!H8-Proj8!$F$2)))*(2*Proj8!$F$3*EXP(-Proj8!$F$6*(Proj8!H8-Proj8!$F$2))/(1+EXP(-Proj8!$F$6*(Proj8!H8-Proj8!$F$2)))+Proj8!$F$5),"")</f>
      </c>
      <c r="AE10" s="341">
        <f>IF(AC10&lt;&gt;"",(Proj8!I8-AD10)^2,"")</f>
      </c>
      <c r="AF10" s="339">
        <f>IF(Proj9!I8="","",IF(Proj9!I8="NA","","x"))</f>
      </c>
      <c r="AG10" s="562">
        <f>IF(COUNT(Proj9!I$2:I$26)&gt;0,EXP(Proj9!$F$4*(Proj9!H8-Proj9!$F$2))/(1+EXP(Proj9!$F$4*(Proj9!H8-Proj9!$F$2)))*(2*Proj9!$F$3*EXP(-Proj9!$F$6*(Proj9!H8-Proj9!$F$2))/(1+EXP(-Proj9!$F$6*(Proj9!H8-Proj9!$F$2)))+Proj9!$F$5),"")</f>
      </c>
      <c r="AH10" s="341">
        <f>IF(AF10&lt;&gt;"",(Proj9!I8-AG10)^2,"")</f>
      </c>
      <c r="AI10" s="339">
        <f>IF(Proj10!I8="","",IF(Proj10!I8="NA","","x"))</f>
      </c>
      <c r="AJ10" s="562">
        <f>IF(COUNT(Proj10!I$2:I$26)&gt;0,EXP(Proj10!$F$4*(Proj10!H8-Proj10!$F$2))/(1+EXP(Proj10!$F$4*(Proj10!H8-Proj10!$F$2)))*(2*Proj10!$F$3*EXP(-Proj10!$F$6*(Proj10!H8-Proj10!$F$2))/(1+EXP(-Proj10!$F$6*(Proj10!H8-Proj10!$F$2)))+Proj10!$F$5),"")</f>
      </c>
      <c r="AK10" s="341">
        <f>IF(AI10&lt;&gt;"",(Proj10!I8-AJ10)^2,"")</f>
      </c>
    </row>
    <row r="11" spans="1:37" s="342" customFormat="1" ht="12.75">
      <c r="A11" s="507">
        <v>1987</v>
      </c>
      <c r="B11" s="339">
        <f>IF(ProjPays!I9="","",IF(ProjPays!I9="NA","","x"))</f>
      </c>
      <c r="C11" s="562">
        <f>IF(COUNT(ProjPays!I$2:I$26)&gt;0,EXP(ProjPays!$F$4*(ProjPays!H9-ProjPays!$F$2))/(1+EXP(ProjPays!$F$4*(ProjPays!H9-ProjPays!$F$2)))*(2*ProjPays!$F$3*EXP(-ProjPays!$F$6*(ProjPays!H9-ProjPays!$F$2))/(1+EXP(-ProjPays!$F$6*(ProjPays!H9-ProjPays!$F$2)))+ProjPays!$F$5),"")</f>
      </c>
      <c r="D11" s="341">
        <f>IF(B11&lt;&gt;"",(ProjPays!I9-C11)^2,"")</f>
      </c>
      <c r="E11" s="339">
        <f>IF(ProjRemaining!I9="","",IF(ProjRemaining!I9="NA","","x"))</f>
      </c>
      <c r="F11" s="562">
        <f>IF(COUNT(ProjRemaining!I$2:I$26)&gt;0,EXP(ProjRemaining!$F$4*(ProjRemaining!H9-ProjRemaining!$F$2))/(1+EXP(ProjRemaining!$F$4*(ProjRemaining!H9-ProjRemaining!$F$2)))*(2*ProjRemaining!$F$3*EXP(-ProjRemaining!$F$6*(ProjRemaining!H9-ProjRemaining!$F$2))/(1+EXP(-ProjRemaining!$F$6*(ProjRemaining!H9-ProjRemaining!$F$2)))+ProjRemaining!$F$5),"")</f>
      </c>
      <c r="G11" s="341">
        <f>IF(E11&lt;&gt;"",(ProjRemaining!I9-F11)^2,"")</f>
      </c>
      <c r="H11" s="339">
        <f>IF(Proj1!I9="","",IF(Proj1!I9="NA","","x"))</f>
      </c>
      <c r="I11" s="562">
        <f>IF(COUNT(Proj1!I$2:I$26)&gt;0,EXP(Proj1!$F$4*(Proj1!H9-Proj1!$F$2))/(1+EXP(Proj1!$F$4*(Proj1!H9-Proj1!$F$2)))*(2*Proj1!$F$3*EXP(-Proj1!$F$6*(Proj1!H9-Proj1!$F$2))/(1+EXP(-Proj1!$F$6*(Proj1!H9-Proj1!$F$2)))+Proj1!$F$5),"")</f>
      </c>
      <c r="J11" s="341">
        <f>IF(H11&lt;&gt;"",(Proj1!I9-I11)^2,"")</f>
      </c>
      <c r="K11" s="339">
        <f>IF(Proj2!I9="","",IF(Proj2!I9="NA","","x"))</f>
      </c>
      <c r="L11" s="562">
        <f>IF(COUNT(Proj2!I$2:I$26)&gt;0,EXP(Proj2!$F$4*(Proj2!H9-Proj2!$F$2))/(1+EXP(Proj2!$F$4*(Proj2!H9-Proj2!$F$2)))*(2*Proj2!$F$3*EXP(-Proj2!$F$6*(Proj2!H9-Proj2!$F$2))/(1+EXP(-Proj2!$F$6*(Proj2!H9-Proj2!$F$2)))+Proj2!$F$5),"")</f>
      </c>
      <c r="M11" s="341">
        <f>IF(K11&lt;&gt;"",(Proj2!I9-L11)^2,"")</f>
      </c>
      <c r="N11" s="339">
        <f>IF(Proj3!I9="","",IF(Proj3!I9="NA","","x"))</f>
      </c>
      <c r="O11" s="562">
        <f>IF(COUNT(Proj3!I$2:I$26)&gt;0,EXP(Proj3!$F$4*(Proj3!H9-Proj3!$F$2))/(1+EXP(Proj3!$F$4*(Proj3!H9-Proj3!$F$2)))*(2*Proj3!$F$3*EXP(-Proj3!$F$6*(Proj3!H9-Proj3!$F$2))/(1+EXP(-Proj3!$F$6*(Proj3!H9-Proj3!$F$2)))+Proj3!$F$5),"")</f>
      </c>
      <c r="P11" s="341">
        <f>IF(N11&lt;&gt;"",(Proj3!I9-O11)^2,"")</f>
      </c>
      <c r="Q11" s="339">
        <f>IF(Proj4!I9="","",IF(Proj4!I9="NA","","x"))</f>
      </c>
      <c r="R11" s="562">
        <f>IF(COUNT(Proj4!I$2:I$26)&gt;0,EXP(Proj4!$F$4*(Proj4!H9-Proj4!$F$2))/(1+EXP(Proj4!$F$4*(Proj4!H9-Proj4!$F$2)))*(2*Proj4!$F$3*EXP(-Proj4!$F$6*(Proj4!H9-Proj4!$F$2))/(1+EXP(-Proj4!$F$6*(Proj4!H9-Proj4!$F$2)))+Proj4!$F$5),"")</f>
      </c>
      <c r="S11" s="341">
        <f>IF(Q11&lt;&gt;"",(Proj4!I9-R11)^2,"")</f>
      </c>
      <c r="T11" s="339">
        <f>IF(Proj5!I9="","",IF(Proj5!I9="NA","","x"))</f>
      </c>
      <c r="U11" s="562">
        <f>IF(COUNT(Proj5!I$2:I$26)&gt;0,EXP(Proj5!$F$4*(Proj5!H9-Proj5!$F$2))/(1+EXP(Proj5!$F$4*(Proj5!H9-Proj5!$F$2)))*(2*Proj5!$F$3*EXP(-Proj5!$F$6*(Proj5!H9-Proj5!$F$2))/(1+EXP(-Proj5!$F$6*(Proj5!H9-Proj5!$F$2)))+Proj5!$F$5),"")</f>
      </c>
      <c r="V11" s="341">
        <f>IF(T11&lt;&gt;"",(Proj5!I9-U11)^2,"")</f>
      </c>
      <c r="W11" s="339">
        <f>IF(Proj6!I9="","",IF(Proj6!I9="NA","","x"))</f>
      </c>
      <c r="X11" s="562">
        <f>IF(COUNT(Proj6!I$2:I$26)&gt;0,EXP(Proj6!$F$4*(Proj6!H9-Proj6!$F$2))/(1+EXP(Proj6!$F$4*(Proj6!H9-Proj6!$F$2)))*(2*Proj6!$F$3*EXP(-Proj6!$F$6*(Proj6!H9-Proj6!$F$2))/(1+EXP(-Proj6!$F$6*(Proj6!H9-Proj6!$F$2)))+Proj6!$F$5),"")</f>
      </c>
      <c r="Y11" s="341">
        <f>IF(W11&lt;&gt;"",(Proj6!I9-X11)^2,"")</f>
      </c>
      <c r="Z11" s="339">
        <f>IF(Proj7!I9="","",IF(Proj7!I9="NA","","x"))</f>
      </c>
      <c r="AA11" s="562">
        <f>IF(COUNT(Proj7!I$2:I$26)&gt;0,EXP(Proj7!$F$4*(Proj7!H9-Proj7!$F$2))/(1+EXP(Proj7!$F$4*(Proj7!H9-Proj7!$F$2)))*(2*Proj7!$F$3*EXP(-Proj7!$F$6*(Proj7!H9-Proj7!$F$2))/(1+EXP(-Proj7!$F$6*(Proj7!H9-Proj7!$F$2)))+Proj7!$F$5),"")</f>
      </c>
      <c r="AB11" s="341">
        <f>IF(Z11&lt;&gt;"",(Proj7!I9-AA11)^2,"")</f>
      </c>
      <c r="AC11" s="339">
        <f>IF(Proj8!I9="","",IF(Proj8!I9="NA","","x"))</f>
      </c>
      <c r="AD11" s="562">
        <f>IF(COUNT(Proj8!I$2:I$26)&gt;0,EXP(Proj8!$F$4*(Proj8!H9-Proj8!$F$2))/(1+EXP(Proj8!$F$4*(Proj8!H9-Proj8!$F$2)))*(2*Proj8!$F$3*EXP(-Proj8!$F$6*(Proj8!H9-Proj8!$F$2))/(1+EXP(-Proj8!$F$6*(Proj8!H9-Proj8!$F$2)))+Proj8!$F$5),"")</f>
      </c>
      <c r="AE11" s="341">
        <f>IF(AC11&lt;&gt;"",(Proj8!I9-AD11)^2,"")</f>
      </c>
      <c r="AF11" s="339">
        <f>IF(Proj9!I9="","",IF(Proj9!I9="NA","","x"))</f>
      </c>
      <c r="AG11" s="562">
        <f>IF(COUNT(Proj9!I$2:I$26)&gt;0,EXP(Proj9!$F$4*(Proj9!H9-Proj9!$F$2))/(1+EXP(Proj9!$F$4*(Proj9!H9-Proj9!$F$2)))*(2*Proj9!$F$3*EXP(-Proj9!$F$6*(Proj9!H9-Proj9!$F$2))/(1+EXP(-Proj9!$F$6*(Proj9!H9-Proj9!$F$2)))+Proj9!$F$5),"")</f>
      </c>
      <c r="AH11" s="341">
        <f>IF(AF11&lt;&gt;"",(Proj9!I9-AG11)^2,"")</f>
      </c>
      <c r="AI11" s="339">
        <f>IF(Proj10!I9="","",IF(Proj10!I9="NA","","x"))</f>
      </c>
      <c r="AJ11" s="562">
        <f>IF(COUNT(Proj10!I$2:I$26)&gt;0,EXP(Proj10!$F$4*(Proj10!H9-Proj10!$F$2))/(1+EXP(Proj10!$F$4*(Proj10!H9-Proj10!$F$2)))*(2*Proj10!$F$3*EXP(-Proj10!$F$6*(Proj10!H9-Proj10!$F$2))/(1+EXP(-Proj10!$F$6*(Proj10!H9-Proj10!$F$2)))+Proj10!$F$5),"")</f>
      </c>
      <c r="AK11" s="341">
        <f>IF(AI11&lt;&gt;"",(Proj10!I9-AJ11)^2,"")</f>
      </c>
    </row>
    <row r="12" spans="1:37" s="342" customFormat="1" ht="12.75">
      <c r="A12" s="507">
        <v>1988</v>
      </c>
      <c r="B12" s="339">
        <f>IF(ProjPays!I10="","",IF(ProjPays!I10="NA","","x"))</f>
      </c>
      <c r="C12" s="562">
        <f>IF(COUNT(ProjPays!I$2:I$26)&gt;0,EXP(ProjPays!$F$4*(ProjPays!H10-ProjPays!$F$2))/(1+EXP(ProjPays!$F$4*(ProjPays!H10-ProjPays!$F$2)))*(2*ProjPays!$F$3*EXP(-ProjPays!$F$6*(ProjPays!H10-ProjPays!$F$2))/(1+EXP(-ProjPays!$F$6*(ProjPays!H10-ProjPays!$F$2)))+ProjPays!$F$5),"")</f>
      </c>
      <c r="D12" s="341">
        <f>IF(B12&lt;&gt;"",(ProjPays!I10-C12)^2,"")</f>
      </c>
      <c r="E12" s="339">
        <f>IF(ProjRemaining!I10="","",IF(ProjRemaining!I10="NA","","x"))</f>
      </c>
      <c r="F12" s="562">
        <f>IF(COUNT(ProjRemaining!I$2:I$26)&gt;0,EXP(ProjRemaining!$F$4*(ProjRemaining!H10-ProjRemaining!$F$2))/(1+EXP(ProjRemaining!$F$4*(ProjRemaining!H10-ProjRemaining!$F$2)))*(2*ProjRemaining!$F$3*EXP(-ProjRemaining!$F$6*(ProjRemaining!H10-ProjRemaining!$F$2))/(1+EXP(-ProjRemaining!$F$6*(ProjRemaining!H10-ProjRemaining!$F$2)))+ProjRemaining!$F$5),"")</f>
      </c>
      <c r="G12" s="341">
        <f>IF(E12&lt;&gt;"",(ProjRemaining!I10-F12)^2,"")</f>
      </c>
      <c r="H12" s="339">
        <f>IF(Proj1!I10="","",IF(Proj1!I10="NA","","x"))</f>
      </c>
      <c r="I12" s="562">
        <f>IF(COUNT(Proj1!I$2:I$26)&gt;0,EXP(Proj1!$F$4*(Proj1!H10-Proj1!$F$2))/(1+EXP(Proj1!$F$4*(Proj1!H10-Proj1!$F$2)))*(2*Proj1!$F$3*EXP(-Proj1!$F$6*(Proj1!H10-Proj1!$F$2))/(1+EXP(-Proj1!$F$6*(Proj1!H10-Proj1!$F$2)))+Proj1!$F$5),"")</f>
      </c>
      <c r="J12" s="341">
        <f>IF(H12&lt;&gt;"",(Proj1!I10-I12)^2,"")</f>
      </c>
      <c r="K12" s="339">
        <f>IF(Proj2!I10="","",IF(Proj2!I10="NA","","x"))</f>
      </c>
      <c r="L12" s="562">
        <f>IF(COUNT(Proj2!I$2:I$26)&gt;0,EXP(Proj2!$F$4*(Proj2!H10-Proj2!$F$2))/(1+EXP(Proj2!$F$4*(Proj2!H10-Proj2!$F$2)))*(2*Proj2!$F$3*EXP(-Proj2!$F$6*(Proj2!H10-Proj2!$F$2))/(1+EXP(-Proj2!$F$6*(Proj2!H10-Proj2!$F$2)))+Proj2!$F$5),"")</f>
      </c>
      <c r="M12" s="341">
        <f>IF(K12&lt;&gt;"",(Proj2!I10-L12)^2,"")</f>
      </c>
      <c r="N12" s="339">
        <f>IF(Proj3!I10="","",IF(Proj3!I10="NA","","x"))</f>
      </c>
      <c r="O12" s="562">
        <f>IF(COUNT(Proj3!I$2:I$26)&gt;0,EXP(Proj3!$F$4*(Proj3!H10-Proj3!$F$2))/(1+EXP(Proj3!$F$4*(Proj3!H10-Proj3!$F$2)))*(2*Proj3!$F$3*EXP(-Proj3!$F$6*(Proj3!H10-Proj3!$F$2))/(1+EXP(-Proj3!$F$6*(Proj3!H10-Proj3!$F$2)))+Proj3!$F$5),"")</f>
      </c>
      <c r="P12" s="341">
        <f>IF(N12&lt;&gt;"",(Proj3!I10-O12)^2,"")</f>
      </c>
      <c r="Q12" s="339">
        <f>IF(Proj4!I10="","",IF(Proj4!I10="NA","","x"))</f>
      </c>
      <c r="R12" s="562">
        <f>IF(COUNT(Proj4!I$2:I$26)&gt;0,EXP(Proj4!$F$4*(Proj4!H10-Proj4!$F$2))/(1+EXP(Proj4!$F$4*(Proj4!H10-Proj4!$F$2)))*(2*Proj4!$F$3*EXP(-Proj4!$F$6*(Proj4!H10-Proj4!$F$2))/(1+EXP(-Proj4!$F$6*(Proj4!H10-Proj4!$F$2)))+Proj4!$F$5),"")</f>
      </c>
      <c r="S12" s="341">
        <f>IF(Q12&lt;&gt;"",(Proj4!I10-R12)^2,"")</f>
      </c>
      <c r="T12" s="339">
        <f>IF(Proj5!I10="","",IF(Proj5!I10="NA","","x"))</f>
      </c>
      <c r="U12" s="562">
        <f>IF(COUNT(Proj5!I$2:I$26)&gt;0,EXP(Proj5!$F$4*(Proj5!H10-Proj5!$F$2))/(1+EXP(Proj5!$F$4*(Proj5!H10-Proj5!$F$2)))*(2*Proj5!$F$3*EXP(-Proj5!$F$6*(Proj5!H10-Proj5!$F$2))/(1+EXP(-Proj5!$F$6*(Proj5!H10-Proj5!$F$2)))+Proj5!$F$5),"")</f>
      </c>
      <c r="V12" s="341">
        <f>IF(T12&lt;&gt;"",(Proj5!I10-U12)^2,"")</f>
      </c>
      <c r="W12" s="339">
        <f>IF(Proj6!I10="","",IF(Proj6!I10="NA","","x"))</f>
      </c>
      <c r="X12" s="562">
        <f>IF(COUNT(Proj6!I$2:I$26)&gt;0,EXP(Proj6!$F$4*(Proj6!H10-Proj6!$F$2))/(1+EXP(Proj6!$F$4*(Proj6!H10-Proj6!$F$2)))*(2*Proj6!$F$3*EXP(-Proj6!$F$6*(Proj6!H10-Proj6!$F$2))/(1+EXP(-Proj6!$F$6*(Proj6!H10-Proj6!$F$2)))+Proj6!$F$5),"")</f>
      </c>
      <c r="Y12" s="341">
        <f>IF(W12&lt;&gt;"",(Proj6!I10-X12)^2,"")</f>
      </c>
      <c r="Z12" s="339">
        <f>IF(Proj7!I10="","",IF(Proj7!I10="NA","","x"))</f>
      </c>
      <c r="AA12" s="562">
        <f>IF(COUNT(Proj7!I$2:I$26)&gt;0,EXP(Proj7!$F$4*(Proj7!H10-Proj7!$F$2))/(1+EXP(Proj7!$F$4*(Proj7!H10-Proj7!$F$2)))*(2*Proj7!$F$3*EXP(-Proj7!$F$6*(Proj7!H10-Proj7!$F$2))/(1+EXP(-Proj7!$F$6*(Proj7!H10-Proj7!$F$2)))+Proj7!$F$5),"")</f>
      </c>
      <c r="AB12" s="341">
        <f>IF(Z12&lt;&gt;"",(Proj7!I10-AA12)^2,"")</f>
      </c>
      <c r="AC12" s="339">
        <f>IF(Proj8!I10="","",IF(Proj8!I10="NA","","x"))</f>
      </c>
      <c r="AD12" s="562">
        <f>IF(COUNT(Proj8!I$2:I$26)&gt;0,EXP(Proj8!$F$4*(Proj8!H10-Proj8!$F$2))/(1+EXP(Proj8!$F$4*(Proj8!H10-Proj8!$F$2)))*(2*Proj8!$F$3*EXP(-Proj8!$F$6*(Proj8!H10-Proj8!$F$2))/(1+EXP(-Proj8!$F$6*(Proj8!H10-Proj8!$F$2)))+Proj8!$F$5),"")</f>
      </c>
      <c r="AE12" s="341">
        <f>IF(AC12&lt;&gt;"",(Proj8!I10-AD12)^2,"")</f>
      </c>
      <c r="AF12" s="339">
        <f>IF(Proj9!I10="","",IF(Proj9!I10="NA","","x"))</f>
      </c>
      <c r="AG12" s="562">
        <f>IF(COUNT(Proj9!I$2:I$26)&gt;0,EXP(Proj9!$F$4*(Proj9!H10-Proj9!$F$2))/(1+EXP(Proj9!$F$4*(Proj9!H10-Proj9!$F$2)))*(2*Proj9!$F$3*EXP(-Proj9!$F$6*(Proj9!H10-Proj9!$F$2))/(1+EXP(-Proj9!$F$6*(Proj9!H10-Proj9!$F$2)))+Proj9!$F$5),"")</f>
      </c>
      <c r="AH12" s="341">
        <f>IF(AF12&lt;&gt;"",(Proj9!I10-AG12)^2,"")</f>
      </c>
      <c r="AI12" s="339">
        <f>IF(Proj10!I10="","",IF(Proj10!I10="NA","","x"))</f>
      </c>
      <c r="AJ12" s="562">
        <f>IF(COUNT(Proj10!I$2:I$26)&gt;0,EXP(Proj10!$F$4*(Proj10!H10-Proj10!$F$2))/(1+EXP(Proj10!$F$4*(Proj10!H10-Proj10!$F$2)))*(2*Proj10!$F$3*EXP(-Proj10!$F$6*(Proj10!H10-Proj10!$F$2))/(1+EXP(-Proj10!$F$6*(Proj10!H10-Proj10!$F$2)))+Proj10!$F$5),"")</f>
      </c>
      <c r="AK12" s="341">
        <f>IF(AI12&lt;&gt;"",(Proj10!I10-AJ12)^2,"")</f>
      </c>
    </row>
    <row r="13" spans="1:37" s="342" customFormat="1" ht="12.75">
      <c r="A13" s="507">
        <v>1989</v>
      </c>
      <c r="B13" s="339">
        <f>IF(ProjPays!I11="","",IF(ProjPays!I11="NA","","x"))</f>
      </c>
      <c r="C13" s="562">
        <f>IF(COUNT(ProjPays!I$2:I$26)&gt;0,EXP(ProjPays!$F$4*(ProjPays!H11-ProjPays!$F$2))/(1+EXP(ProjPays!$F$4*(ProjPays!H11-ProjPays!$F$2)))*(2*ProjPays!$F$3*EXP(-ProjPays!$F$6*(ProjPays!H11-ProjPays!$F$2))/(1+EXP(-ProjPays!$F$6*(ProjPays!H11-ProjPays!$F$2)))+ProjPays!$F$5),"")</f>
      </c>
      <c r="D13" s="341">
        <f>IF(B13&lt;&gt;"",(ProjPays!I11-C13)^2,"")</f>
      </c>
      <c r="E13" s="339">
        <f>IF(ProjRemaining!I11="","",IF(ProjRemaining!I11="NA","","x"))</f>
      </c>
      <c r="F13" s="562">
        <f>IF(COUNT(ProjRemaining!I$2:I$26)&gt;0,EXP(ProjRemaining!$F$4*(ProjRemaining!H11-ProjRemaining!$F$2))/(1+EXP(ProjRemaining!$F$4*(ProjRemaining!H11-ProjRemaining!$F$2)))*(2*ProjRemaining!$F$3*EXP(-ProjRemaining!$F$6*(ProjRemaining!H11-ProjRemaining!$F$2))/(1+EXP(-ProjRemaining!$F$6*(ProjRemaining!H11-ProjRemaining!$F$2)))+ProjRemaining!$F$5),"")</f>
      </c>
      <c r="G13" s="341">
        <f>IF(E13&lt;&gt;"",(ProjRemaining!I11-F13)^2,"")</f>
      </c>
      <c r="H13" s="339">
        <f>IF(Proj1!I11="","",IF(Proj1!I11="NA","","x"))</f>
      </c>
      <c r="I13" s="562">
        <f>IF(COUNT(Proj1!I$2:I$26)&gt;0,EXP(Proj1!$F$4*(Proj1!H11-Proj1!$F$2))/(1+EXP(Proj1!$F$4*(Proj1!H11-Proj1!$F$2)))*(2*Proj1!$F$3*EXP(-Proj1!$F$6*(Proj1!H11-Proj1!$F$2))/(1+EXP(-Proj1!$F$6*(Proj1!H11-Proj1!$F$2)))+Proj1!$F$5),"")</f>
      </c>
      <c r="J13" s="341">
        <f>IF(H13&lt;&gt;"",(Proj1!I11-I13)^2,"")</f>
      </c>
      <c r="K13" s="339">
        <f>IF(Proj2!I11="","",IF(Proj2!I11="NA","","x"))</f>
      </c>
      <c r="L13" s="562">
        <f>IF(COUNT(Proj2!I$2:I$26)&gt;0,EXP(Proj2!$F$4*(Proj2!H11-Proj2!$F$2))/(1+EXP(Proj2!$F$4*(Proj2!H11-Proj2!$F$2)))*(2*Proj2!$F$3*EXP(-Proj2!$F$6*(Proj2!H11-Proj2!$F$2))/(1+EXP(-Proj2!$F$6*(Proj2!H11-Proj2!$F$2)))+Proj2!$F$5),"")</f>
      </c>
      <c r="M13" s="341">
        <f>IF(K13&lt;&gt;"",(Proj2!I11-L13)^2,"")</f>
      </c>
      <c r="N13" s="339">
        <f>IF(Proj3!I11="","",IF(Proj3!I11="NA","","x"))</f>
      </c>
      <c r="O13" s="562">
        <f>IF(COUNT(Proj3!I$2:I$26)&gt;0,EXP(Proj3!$F$4*(Proj3!H11-Proj3!$F$2))/(1+EXP(Proj3!$F$4*(Proj3!H11-Proj3!$F$2)))*(2*Proj3!$F$3*EXP(-Proj3!$F$6*(Proj3!H11-Proj3!$F$2))/(1+EXP(-Proj3!$F$6*(Proj3!H11-Proj3!$F$2)))+Proj3!$F$5),"")</f>
      </c>
      <c r="P13" s="341">
        <f>IF(N13&lt;&gt;"",(Proj3!I11-O13)^2,"")</f>
      </c>
      <c r="Q13" s="339">
        <f>IF(Proj4!I11="","",IF(Proj4!I11="NA","","x"))</f>
      </c>
      <c r="R13" s="562">
        <f>IF(COUNT(Proj4!I$2:I$26)&gt;0,EXP(Proj4!$F$4*(Proj4!H11-Proj4!$F$2))/(1+EXP(Proj4!$F$4*(Proj4!H11-Proj4!$F$2)))*(2*Proj4!$F$3*EXP(-Proj4!$F$6*(Proj4!H11-Proj4!$F$2))/(1+EXP(-Proj4!$F$6*(Proj4!H11-Proj4!$F$2)))+Proj4!$F$5),"")</f>
      </c>
      <c r="S13" s="341">
        <f>IF(Q13&lt;&gt;"",(Proj4!I11-R13)^2,"")</f>
      </c>
      <c r="T13" s="339">
        <f>IF(Proj5!I11="","",IF(Proj5!I11="NA","","x"))</f>
      </c>
      <c r="U13" s="562">
        <f>IF(COUNT(Proj5!I$2:I$26)&gt;0,EXP(Proj5!$F$4*(Proj5!H11-Proj5!$F$2))/(1+EXP(Proj5!$F$4*(Proj5!H11-Proj5!$F$2)))*(2*Proj5!$F$3*EXP(-Proj5!$F$6*(Proj5!H11-Proj5!$F$2))/(1+EXP(-Proj5!$F$6*(Proj5!H11-Proj5!$F$2)))+Proj5!$F$5),"")</f>
      </c>
      <c r="V13" s="341">
        <f>IF(T13&lt;&gt;"",(Proj5!I11-U13)^2,"")</f>
      </c>
      <c r="W13" s="339">
        <f>IF(Proj6!I11="","",IF(Proj6!I11="NA","","x"))</f>
      </c>
      <c r="X13" s="562">
        <f>IF(COUNT(Proj6!I$2:I$26)&gt;0,EXP(Proj6!$F$4*(Proj6!H11-Proj6!$F$2))/(1+EXP(Proj6!$F$4*(Proj6!H11-Proj6!$F$2)))*(2*Proj6!$F$3*EXP(-Proj6!$F$6*(Proj6!H11-Proj6!$F$2))/(1+EXP(-Proj6!$F$6*(Proj6!H11-Proj6!$F$2)))+Proj6!$F$5),"")</f>
      </c>
      <c r="Y13" s="341">
        <f>IF(W13&lt;&gt;"",(Proj6!I11-X13)^2,"")</f>
      </c>
      <c r="Z13" s="339">
        <f>IF(Proj7!I11="","",IF(Proj7!I11="NA","","x"))</f>
      </c>
      <c r="AA13" s="562">
        <f>IF(COUNT(Proj7!I$2:I$26)&gt;0,EXP(Proj7!$F$4*(Proj7!H11-Proj7!$F$2))/(1+EXP(Proj7!$F$4*(Proj7!H11-Proj7!$F$2)))*(2*Proj7!$F$3*EXP(-Proj7!$F$6*(Proj7!H11-Proj7!$F$2))/(1+EXP(-Proj7!$F$6*(Proj7!H11-Proj7!$F$2)))+Proj7!$F$5),"")</f>
      </c>
      <c r="AB13" s="341">
        <f>IF(Z13&lt;&gt;"",(Proj7!I11-AA13)^2,"")</f>
      </c>
      <c r="AC13" s="339">
        <f>IF(Proj8!I11="","",IF(Proj8!I11="NA","","x"))</f>
      </c>
      <c r="AD13" s="562">
        <f>IF(COUNT(Proj8!I$2:I$26)&gt;0,EXP(Proj8!$F$4*(Proj8!H11-Proj8!$F$2))/(1+EXP(Proj8!$F$4*(Proj8!H11-Proj8!$F$2)))*(2*Proj8!$F$3*EXP(-Proj8!$F$6*(Proj8!H11-Proj8!$F$2))/(1+EXP(-Proj8!$F$6*(Proj8!H11-Proj8!$F$2)))+Proj8!$F$5),"")</f>
      </c>
      <c r="AE13" s="341">
        <f>IF(AC13&lt;&gt;"",(Proj8!I11-AD13)^2,"")</f>
      </c>
      <c r="AF13" s="339">
        <f>IF(Proj9!I11="","",IF(Proj9!I11="NA","","x"))</f>
      </c>
      <c r="AG13" s="562">
        <f>IF(COUNT(Proj9!I$2:I$26)&gt;0,EXP(Proj9!$F$4*(Proj9!H11-Proj9!$F$2))/(1+EXP(Proj9!$F$4*(Proj9!H11-Proj9!$F$2)))*(2*Proj9!$F$3*EXP(-Proj9!$F$6*(Proj9!H11-Proj9!$F$2))/(1+EXP(-Proj9!$F$6*(Proj9!H11-Proj9!$F$2)))+Proj9!$F$5),"")</f>
      </c>
      <c r="AH13" s="341">
        <f>IF(AF13&lt;&gt;"",(Proj9!I11-AG13)^2,"")</f>
      </c>
      <c r="AI13" s="339">
        <f>IF(Proj10!I11="","",IF(Proj10!I11="NA","","x"))</f>
      </c>
      <c r="AJ13" s="562">
        <f>IF(COUNT(Proj10!I$2:I$26)&gt;0,EXP(Proj10!$F$4*(Proj10!H11-Proj10!$F$2))/(1+EXP(Proj10!$F$4*(Proj10!H11-Proj10!$F$2)))*(2*Proj10!$F$3*EXP(-Proj10!$F$6*(Proj10!H11-Proj10!$F$2))/(1+EXP(-Proj10!$F$6*(Proj10!H11-Proj10!$F$2)))+Proj10!$F$5),"")</f>
      </c>
      <c r="AK13" s="341">
        <f>IF(AI13&lt;&gt;"",(Proj10!I11-AJ13)^2,"")</f>
      </c>
    </row>
    <row r="14" spans="1:37" s="342" customFormat="1" ht="12.75">
      <c r="A14" s="507">
        <v>1990</v>
      </c>
      <c r="B14" s="339">
        <f>IF(ProjPays!I12="","",IF(ProjPays!I12="NA","","x"))</f>
      </c>
      <c r="C14" s="562">
        <f>IF(COUNT(ProjPays!I$2:I$26)&gt;0,EXP(ProjPays!$F$4*(ProjPays!H12-ProjPays!$F$2))/(1+EXP(ProjPays!$F$4*(ProjPays!H12-ProjPays!$F$2)))*(2*ProjPays!$F$3*EXP(-ProjPays!$F$6*(ProjPays!H12-ProjPays!$F$2))/(1+EXP(-ProjPays!$F$6*(ProjPays!H12-ProjPays!$F$2)))+ProjPays!$F$5),"")</f>
      </c>
      <c r="D14" s="341">
        <f>IF(B14&lt;&gt;"",(ProjPays!I12-C14)^2,"")</f>
      </c>
      <c r="E14" s="339">
        <f>IF(ProjRemaining!I12="","",IF(ProjRemaining!I12="NA","","x"))</f>
      </c>
      <c r="F14" s="562">
        <f>IF(COUNT(ProjRemaining!I$2:I$26)&gt;0,EXP(ProjRemaining!$F$4*(ProjRemaining!H12-ProjRemaining!$F$2))/(1+EXP(ProjRemaining!$F$4*(ProjRemaining!H12-ProjRemaining!$F$2)))*(2*ProjRemaining!$F$3*EXP(-ProjRemaining!$F$6*(ProjRemaining!H12-ProjRemaining!$F$2))/(1+EXP(-ProjRemaining!$F$6*(ProjRemaining!H12-ProjRemaining!$F$2)))+ProjRemaining!$F$5),"")</f>
      </c>
      <c r="G14" s="341">
        <f>IF(E14&lt;&gt;"",(ProjRemaining!I12-F14)^2,"")</f>
      </c>
      <c r="H14" s="339">
        <f>IF(Proj1!I12="","",IF(Proj1!I12="NA","","x"))</f>
      </c>
      <c r="I14" s="562">
        <f>IF(COUNT(Proj1!I$2:I$26)&gt;0,EXP(Proj1!$F$4*(Proj1!H12-Proj1!$F$2))/(1+EXP(Proj1!$F$4*(Proj1!H12-Proj1!$F$2)))*(2*Proj1!$F$3*EXP(-Proj1!$F$6*(Proj1!H12-Proj1!$F$2))/(1+EXP(-Proj1!$F$6*(Proj1!H12-Proj1!$F$2)))+Proj1!$F$5),"")</f>
      </c>
      <c r="J14" s="341">
        <f>IF(H14&lt;&gt;"",(Proj1!I12-I14)^2,"")</f>
      </c>
      <c r="K14" s="339">
        <f>IF(Proj2!I12="","",IF(Proj2!I12="NA","","x"))</f>
      </c>
      <c r="L14" s="562">
        <f>IF(COUNT(Proj2!I$2:I$26)&gt;0,EXP(Proj2!$F$4*(Proj2!H12-Proj2!$F$2))/(1+EXP(Proj2!$F$4*(Proj2!H12-Proj2!$F$2)))*(2*Proj2!$F$3*EXP(-Proj2!$F$6*(Proj2!H12-Proj2!$F$2))/(1+EXP(-Proj2!$F$6*(Proj2!H12-Proj2!$F$2)))+Proj2!$F$5),"")</f>
      </c>
      <c r="M14" s="341">
        <f>IF(K14&lt;&gt;"",(Proj2!I12-L14)^2,"")</f>
      </c>
      <c r="N14" s="339">
        <f>IF(Proj3!I12="","",IF(Proj3!I12="NA","","x"))</f>
      </c>
      <c r="O14" s="562">
        <f>IF(COUNT(Proj3!I$2:I$26)&gt;0,EXP(Proj3!$F$4*(Proj3!H12-Proj3!$F$2))/(1+EXP(Proj3!$F$4*(Proj3!H12-Proj3!$F$2)))*(2*Proj3!$F$3*EXP(-Proj3!$F$6*(Proj3!H12-Proj3!$F$2))/(1+EXP(-Proj3!$F$6*(Proj3!H12-Proj3!$F$2)))+Proj3!$F$5),"")</f>
      </c>
      <c r="P14" s="341">
        <f>IF(N14&lt;&gt;"",(Proj3!I12-O14)^2,"")</f>
      </c>
      <c r="Q14" s="339">
        <f>IF(Proj4!I12="","",IF(Proj4!I12="NA","","x"))</f>
      </c>
      <c r="R14" s="562">
        <f>IF(COUNT(Proj4!I$2:I$26)&gt;0,EXP(Proj4!$F$4*(Proj4!H12-Proj4!$F$2))/(1+EXP(Proj4!$F$4*(Proj4!H12-Proj4!$F$2)))*(2*Proj4!$F$3*EXP(-Proj4!$F$6*(Proj4!H12-Proj4!$F$2))/(1+EXP(-Proj4!$F$6*(Proj4!H12-Proj4!$F$2)))+Proj4!$F$5),"")</f>
      </c>
      <c r="S14" s="341">
        <f>IF(Q14&lt;&gt;"",(Proj4!I12-R14)^2,"")</f>
      </c>
      <c r="T14" s="339">
        <f>IF(Proj5!I12="","",IF(Proj5!I12="NA","","x"))</f>
      </c>
      <c r="U14" s="562">
        <f>IF(COUNT(Proj5!I$2:I$26)&gt;0,EXP(Proj5!$F$4*(Proj5!H12-Proj5!$F$2))/(1+EXP(Proj5!$F$4*(Proj5!H12-Proj5!$F$2)))*(2*Proj5!$F$3*EXP(-Proj5!$F$6*(Proj5!H12-Proj5!$F$2))/(1+EXP(-Proj5!$F$6*(Proj5!H12-Proj5!$F$2)))+Proj5!$F$5),"")</f>
      </c>
      <c r="V14" s="341">
        <f>IF(T14&lt;&gt;"",(Proj5!I12-U14)^2,"")</f>
      </c>
      <c r="W14" s="339">
        <f>IF(Proj6!I12="","",IF(Proj6!I12="NA","","x"))</f>
      </c>
      <c r="X14" s="562">
        <f>IF(COUNT(Proj6!I$2:I$26)&gt;0,EXP(Proj6!$F$4*(Proj6!H12-Proj6!$F$2))/(1+EXP(Proj6!$F$4*(Proj6!H12-Proj6!$F$2)))*(2*Proj6!$F$3*EXP(-Proj6!$F$6*(Proj6!H12-Proj6!$F$2))/(1+EXP(-Proj6!$F$6*(Proj6!H12-Proj6!$F$2)))+Proj6!$F$5),"")</f>
      </c>
      <c r="Y14" s="341">
        <f>IF(W14&lt;&gt;"",(Proj6!I12-X14)^2,"")</f>
      </c>
      <c r="Z14" s="339">
        <f>IF(Proj7!I12="","",IF(Proj7!I12="NA","","x"))</f>
      </c>
      <c r="AA14" s="562">
        <f>IF(COUNT(Proj7!I$2:I$26)&gt;0,EXP(Proj7!$F$4*(Proj7!H12-Proj7!$F$2))/(1+EXP(Proj7!$F$4*(Proj7!H12-Proj7!$F$2)))*(2*Proj7!$F$3*EXP(-Proj7!$F$6*(Proj7!H12-Proj7!$F$2))/(1+EXP(-Proj7!$F$6*(Proj7!H12-Proj7!$F$2)))+Proj7!$F$5),"")</f>
      </c>
      <c r="AB14" s="341">
        <f>IF(Z14&lt;&gt;"",(Proj7!I12-AA14)^2,"")</f>
      </c>
      <c r="AC14" s="339">
        <f>IF(Proj8!I12="","",IF(Proj8!I12="NA","","x"))</f>
      </c>
      <c r="AD14" s="562">
        <f>IF(COUNT(Proj8!I$2:I$26)&gt;0,EXP(Proj8!$F$4*(Proj8!H12-Proj8!$F$2))/(1+EXP(Proj8!$F$4*(Proj8!H12-Proj8!$F$2)))*(2*Proj8!$F$3*EXP(-Proj8!$F$6*(Proj8!H12-Proj8!$F$2))/(1+EXP(-Proj8!$F$6*(Proj8!H12-Proj8!$F$2)))+Proj8!$F$5),"")</f>
      </c>
      <c r="AE14" s="341">
        <f>IF(AC14&lt;&gt;"",(Proj8!I12-AD14)^2,"")</f>
      </c>
      <c r="AF14" s="339">
        <f>IF(Proj9!I12="","",IF(Proj9!I12="NA","","x"))</f>
      </c>
      <c r="AG14" s="562">
        <f>IF(COUNT(Proj9!I$2:I$26)&gt;0,EXP(Proj9!$F$4*(Proj9!H12-Proj9!$F$2))/(1+EXP(Proj9!$F$4*(Proj9!H12-Proj9!$F$2)))*(2*Proj9!$F$3*EXP(-Proj9!$F$6*(Proj9!H12-Proj9!$F$2))/(1+EXP(-Proj9!$F$6*(Proj9!H12-Proj9!$F$2)))+Proj9!$F$5),"")</f>
      </c>
      <c r="AH14" s="341">
        <f>IF(AF14&lt;&gt;"",(Proj9!I12-AG14)^2,"")</f>
      </c>
      <c r="AI14" s="339">
        <f>IF(Proj10!I12="","",IF(Proj10!I12="NA","","x"))</f>
      </c>
      <c r="AJ14" s="562">
        <f>IF(COUNT(Proj10!I$2:I$26)&gt;0,EXP(Proj10!$F$4*(Proj10!H12-Proj10!$F$2))/(1+EXP(Proj10!$F$4*(Proj10!H12-Proj10!$F$2)))*(2*Proj10!$F$3*EXP(-Proj10!$F$6*(Proj10!H12-Proj10!$F$2))/(1+EXP(-Proj10!$F$6*(Proj10!H12-Proj10!$F$2)))+Proj10!$F$5),"")</f>
      </c>
      <c r="AK14" s="341">
        <f>IF(AI14&lt;&gt;"",(Proj10!I12-AJ14)^2,"")</f>
      </c>
    </row>
    <row r="15" spans="1:37" s="342" customFormat="1" ht="12.75">
      <c r="A15" s="507">
        <v>1991</v>
      </c>
      <c r="B15" s="339">
        <f>IF(ProjPays!I13="","",IF(ProjPays!I13="NA","","x"))</f>
      </c>
      <c r="C15" s="562">
        <f>IF(COUNT(ProjPays!I$2:I$26)&gt;0,EXP(ProjPays!$F$4*(ProjPays!H13-ProjPays!$F$2))/(1+EXP(ProjPays!$F$4*(ProjPays!H13-ProjPays!$F$2)))*(2*ProjPays!$F$3*EXP(-ProjPays!$F$6*(ProjPays!H13-ProjPays!$F$2))/(1+EXP(-ProjPays!$F$6*(ProjPays!H13-ProjPays!$F$2)))+ProjPays!$F$5),"")</f>
      </c>
      <c r="D15" s="341">
        <f>IF(B15&lt;&gt;"",(ProjPays!I13-C15)^2,"")</f>
      </c>
      <c r="E15" s="339">
        <f>IF(ProjRemaining!I13="","",IF(ProjRemaining!I13="NA","","x"))</f>
      </c>
      <c r="F15" s="562">
        <f>IF(COUNT(ProjRemaining!I$2:I$26)&gt;0,EXP(ProjRemaining!$F$4*(ProjRemaining!H13-ProjRemaining!$F$2))/(1+EXP(ProjRemaining!$F$4*(ProjRemaining!H13-ProjRemaining!$F$2)))*(2*ProjRemaining!$F$3*EXP(-ProjRemaining!$F$6*(ProjRemaining!H13-ProjRemaining!$F$2))/(1+EXP(-ProjRemaining!$F$6*(ProjRemaining!H13-ProjRemaining!$F$2)))+ProjRemaining!$F$5),"")</f>
      </c>
      <c r="G15" s="341">
        <f>IF(E15&lt;&gt;"",(ProjRemaining!I13-F15)^2,"")</f>
      </c>
      <c r="H15" s="339">
        <f>IF(Proj1!I13="","",IF(Proj1!I13="NA","","x"))</f>
      </c>
      <c r="I15" s="562">
        <f>IF(COUNT(Proj1!I$2:I$26)&gt;0,EXP(Proj1!$F$4*(Proj1!H13-Proj1!$F$2))/(1+EXP(Proj1!$F$4*(Proj1!H13-Proj1!$F$2)))*(2*Proj1!$F$3*EXP(-Proj1!$F$6*(Proj1!H13-Proj1!$F$2))/(1+EXP(-Proj1!$F$6*(Proj1!H13-Proj1!$F$2)))+Proj1!$F$5),"")</f>
      </c>
      <c r="J15" s="341">
        <f>IF(H15&lt;&gt;"",(Proj1!I13-I15)^2,"")</f>
      </c>
      <c r="K15" s="339">
        <f>IF(Proj2!I13="","",IF(Proj2!I13="NA","","x"))</f>
      </c>
      <c r="L15" s="562">
        <f>IF(COUNT(Proj2!I$2:I$26)&gt;0,EXP(Proj2!$F$4*(Proj2!H13-Proj2!$F$2))/(1+EXP(Proj2!$F$4*(Proj2!H13-Proj2!$F$2)))*(2*Proj2!$F$3*EXP(-Proj2!$F$6*(Proj2!H13-Proj2!$F$2))/(1+EXP(-Proj2!$F$6*(Proj2!H13-Proj2!$F$2)))+Proj2!$F$5),"")</f>
      </c>
      <c r="M15" s="341">
        <f>IF(K15&lt;&gt;"",(Proj2!I13-L15)^2,"")</f>
      </c>
      <c r="N15" s="339">
        <f>IF(Proj3!I13="","",IF(Proj3!I13="NA","","x"))</f>
      </c>
      <c r="O15" s="562">
        <f>IF(COUNT(Proj3!I$2:I$26)&gt;0,EXP(Proj3!$F$4*(Proj3!H13-Proj3!$F$2))/(1+EXP(Proj3!$F$4*(Proj3!H13-Proj3!$F$2)))*(2*Proj3!$F$3*EXP(-Proj3!$F$6*(Proj3!H13-Proj3!$F$2))/(1+EXP(-Proj3!$F$6*(Proj3!H13-Proj3!$F$2)))+Proj3!$F$5),"")</f>
      </c>
      <c r="P15" s="341">
        <f>IF(N15&lt;&gt;"",(Proj3!I13-O15)^2,"")</f>
      </c>
      <c r="Q15" s="339">
        <f>IF(Proj4!I13="","",IF(Proj4!I13="NA","","x"))</f>
      </c>
      <c r="R15" s="562">
        <f>IF(COUNT(Proj4!I$2:I$26)&gt;0,EXP(Proj4!$F$4*(Proj4!H13-Proj4!$F$2))/(1+EXP(Proj4!$F$4*(Proj4!H13-Proj4!$F$2)))*(2*Proj4!$F$3*EXP(-Proj4!$F$6*(Proj4!H13-Proj4!$F$2))/(1+EXP(-Proj4!$F$6*(Proj4!H13-Proj4!$F$2)))+Proj4!$F$5),"")</f>
      </c>
      <c r="S15" s="341">
        <f>IF(Q15&lt;&gt;"",(Proj4!I13-R15)^2,"")</f>
      </c>
      <c r="T15" s="339">
        <f>IF(Proj5!I13="","",IF(Proj5!I13="NA","","x"))</f>
      </c>
      <c r="U15" s="562">
        <f>IF(COUNT(Proj5!I$2:I$26)&gt;0,EXP(Proj5!$F$4*(Proj5!H13-Proj5!$F$2))/(1+EXP(Proj5!$F$4*(Proj5!H13-Proj5!$F$2)))*(2*Proj5!$F$3*EXP(-Proj5!$F$6*(Proj5!H13-Proj5!$F$2))/(1+EXP(-Proj5!$F$6*(Proj5!H13-Proj5!$F$2)))+Proj5!$F$5),"")</f>
      </c>
      <c r="V15" s="341">
        <f>IF(T15&lt;&gt;"",(Proj5!I13-U15)^2,"")</f>
      </c>
      <c r="W15" s="339">
        <f>IF(Proj6!I13="","",IF(Proj6!I13="NA","","x"))</f>
      </c>
      <c r="X15" s="562">
        <f>IF(COUNT(Proj6!I$2:I$26)&gt;0,EXP(Proj6!$F$4*(Proj6!H13-Proj6!$F$2))/(1+EXP(Proj6!$F$4*(Proj6!H13-Proj6!$F$2)))*(2*Proj6!$F$3*EXP(-Proj6!$F$6*(Proj6!H13-Proj6!$F$2))/(1+EXP(-Proj6!$F$6*(Proj6!H13-Proj6!$F$2)))+Proj6!$F$5),"")</f>
      </c>
      <c r="Y15" s="341">
        <f>IF(W15&lt;&gt;"",(Proj6!I13-X15)^2,"")</f>
      </c>
      <c r="Z15" s="339">
        <f>IF(Proj7!I13="","",IF(Proj7!I13="NA","","x"))</f>
      </c>
      <c r="AA15" s="562">
        <f>IF(COUNT(Proj7!I$2:I$26)&gt;0,EXP(Proj7!$F$4*(Proj7!H13-Proj7!$F$2))/(1+EXP(Proj7!$F$4*(Proj7!H13-Proj7!$F$2)))*(2*Proj7!$F$3*EXP(-Proj7!$F$6*(Proj7!H13-Proj7!$F$2))/(1+EXP(-Proj7!$F$6*(Proj7!H13-Proj7!$F$2)))+Proj7!$F$5),"")</f>
      </c>
      <c r="AB15" s="341">
        <f>IF(Z15&lt;&gt;"",(Proj7!I13-AA15)^2,"")</f>
      </c>
      <c r="AC15" s="339">
        <f>IF(Proj8!I13="","",IF(Proj8!I13="NA","","x"))</f>
      </c>
      <c r="AD15" s="562">
        <f>IF(COUNT(Proj8!I$2:I$26)&gt;0,EXP(Proj8!$F$4*(Proj8!H13-Proj8!$F$2))/(1+EXP(Proj8!$F$4*(Proj8!H13-Proj8!$F$2)))*(2*Proj8!$F$3*EXP(-Proj8!$F$6*(Proj8!H13-Proj8!$F$2))/(1+EXP(-Proj8!$F$6*(Proj8!H13-Proj8!$F$2)))+Proj8!$F$5),"")</f>
      </c>
      <c r="AE15" s="341">
        <f>IF(AC15&lt;&gt;"",(Proj8!I13-AD15)^2,"")</f>
      </c>
      <c r="AF15" s="339">
        <f>IF(Proj9!I13="","",IF(Proj9!I13="NA","","x"))</f>
      </c>
      <c r="AG15" s="562">
        <f>IF(COUNT(Proj9!I$2:I$26)&gt;0,EXP(Proj9!$F$4*(Proj9!H13-Proj9!$F$2))/(1+EXP(Proj9!$F$4*(Proj9!H13-Proj9!$F$2)))*(2*Proj9!$F$3*EXP(-Proj9!$F$6*(Proj9!H13-Proj9!$F$2))/(1+EXP(-Proj9!$F$6*(Proj9!H13-Proj9!$F$2)))+Proj9!$F$5),"")</f>
      </c>
      <c r="AH15" s="341">
        <f>IF(AF15&lt;&gt;"",(Proj9!I13-AG15)^2,"")</f>
      </c>
      <c r="AI15" s="339">
        <f>IF(Proj10!I13="","",IF(Proj10!I13="NA","","x"))</f>
      </c>
      <c r="AJ15" s="562">
        <f>IF(COUNT(Proj10!I$2:I$26)&gt;0,EXP(Proj10!$F$4*(Proj10!H13-Proj10!$F$2))/(1+EXP(Proj10!$F$4*(Proj10!H13-Proj10!$F$2)))*(2*Proj10!$F$3*EXP(-Proj10!$F$6*(Proj10!H13-Proj10!$F$2))/(1+EXP(-Proj10!$F$6*(Proj10!H13-Proj10!$F$2)))+Proj10!$F$5),"")</f>
      </c>
      <c r="AK15" s="341">
        <f>IF(AI15&lt;&gt;"",(Proj10!I13-AJ15)^2,"")</f>
      </c>
    </row>
    <row r="16" spans="1:37" s="342" customFormat="1" ht="12.75">
      <c r="A16" s="507">
        <v>1992</v>
      </c>
      <c r="B16" s="339">
        <f>IF(ProjPays!I14="","",IF(ProjPays!I14="NA","","x"))</f>
      </c>
      <c r="C16" s="562">
        <f>IF(COUNT(ProjPays!I$2:I$26)&gt;0,EXP(ProjPays!$F$4*(ProjPays!H14-ProjPays!$F$2))/(1+EXP(ProjPays!$F$4*(ProjPays!H14-ProjPays!$F$2)))*(2*ProjPays!$F$3*EXP(-ProjPays!$F$6*(ProjPays!H14-ProjPays!$F$2))/(1+EXP(-ProjPays!$F$6*(ProjPays!H14-ProjPays!$F$2)))+ProjPays!$F$5),"")</f>
      </c>
      <c r="D16" s="341">
        <f>IF(B16&lt;&gt;"",(ProjPays!I14-C16)^2,"")</f>
      </c>
      <c r="E16" s="339">
        <f>IF(ProjRemaining!I14="","",IF(ProjRemaining!I14="NA","","x"))</f>
      </c>
      <c r="F16" s="562">
        <f>IF(COUNT(ProjRemaining!I$2:I$26)&gt;0,EXP(ProjRemaining!$F$4*(ProjRemaining!H14-ProjRemaining!$F$2))/(1+EXP(ProjRemaining!$F$4*(ProjRemaining!H14-ProjRemaining!$F$2)))*(2*ProjRemaining!$F$3*EXP(-ProjRemaining!$F$6*(ProjRemaining!H14-ProjRemaining!$F$2))/(1+EXP(-ProjRemaining!$F$6*(ProjRemaining!H14-ProjRemaining!$F$2)))+ProjRemaining!$F$5),"")</f>
      </c>
      <c r="G16" s="341">
        <f>IF(E16&lt;&gt;"",(ProjRemaining!I14-F16)^2,"")</f>
      </c>
      <c r="H16" s="339">
        <f>IF(Proj1!I14="","",IF(Proj1!I14="NA","","x"))</f>
      </c>
      <c r="I16" s="562">
        <f>IF(COUNT(Proj1!I$2:I$26)&gt;0,EXP(Proj1!$F$4*(Proj1!H14-Proj1!$F$2))/(1+EXP(Proj1!$F$4*(Proj1!H14-Proj1!$F$2)))*(2*Proj1!$F$3*EXP(-Proj1!$F$6*(Proj1!H14-Proj1!$F$2))/(1+EXP(-Proj1!$F$6*(Proj1!H14-Proj1!$F$2)))+Proj1!$F$5),"")</f>
      </c>
      <c r="J16" s="341">
        <f>IF(H16&lt;&gt;"",(Proj1!I14-I16)^2,"")</f>
      </c>
      <c r="K16" s="339">
        <f>IF(Proj2!I14="","",IF(Proj2!I14="NA","","x"))</f>
      </c>
      <c r="L16" s="562">
        <f>IF(COUNT(Proj2!I$2:I$26)&gt;0,EXP(Proj2!$F$4*(Proj2!H14-Proj2!$F$2))/(1+EXP(Proj2!$F$4*(Proj2!H14-Proj2!$F$2)))*(2*Proj2!$F$3*EXP(-Proj2!$F$6*(Proj2!H14-Proj2!$F$2))/(1+EXP(-Proj2!$F$6*(Proj2!H14-Proj2!$F$2)))+Proj2!$F$5),"")</f>
      </c>
      <c r="M16" s="341">
        <f>IF(K16&lt;&gt;"",(Proj2!I14-L16)^2,"")</f>
      </c>
      <c r="N16" s="339">
        <f>IF(Proj3!I14="","",IF(Proj3!I14="NA","","x"))</f>
      </c>
      <c r="O16" s="562">
        <f>IF(COUNT(Proj3!I$2:I$26)&gt;0,EXP(Proj3!$F$4*(Proj3!H14-Proj3!$F$2))/(1+EXP(Proj3!$F$4*(Proj3!H14-Proj3!$F$2)))*(2*Proj3!$F$3*EXP(-Proj3!$F$6*(Proj3!H14-Proj3!$F$2))/(1+EXP(-Proj3!$F$6*(Proj3!H14-Proj3!$F$2)))+Proj3!$F$5),"")</f>
      </c>
      <c r="P16" s="341">
        <f>IF(N16&lt;&gt;"",(Proj3!I14-O16)^2,"")</f>
      </c>
      <c r="Q16" s="339">
        <f>IF(Proj4!I14="","",IF(Proj4!I14="NA","","x"))</f>
      </c>
      <c r="R16" s="562">
        <f>IF(COUNT(Proj4!I$2:I$26)&gt;0,EXP(Proj4!$F$4*(Proj4!H14-Proj4!$F$2))/(1+EXP(Proj4!$F$4*(Proj4!H14-Proj4!$F$2)))*(2*Proj4!$F$3*EXP(-Proj4!$F$6*(Proj4!H14-Proj4!$F$2))/(1+EXP(-Proj4!$F$6*(Proj4!H14-Proj4!$F$2)))+Proj4!$F$5),"")</f>
      </c>
      <c r="S16" s="341">
        <f>IF(Q16&lt;&gt;"",(Proj4!I14-R16)^2,"")</f>
      </c>
      <c r="T16" s="339">
        <f>IF(Proj5!I14="","",IF(Proj5!I14="NA","","x"))</f>
      </c>
      <c r="U16" s="562">
        <f>IF(COUNT(Proj5!I$2:I$26)&gt;0,EXP(Proj5!$F$4*(Proj5!H14-Proj5!$F$2))/(1+EXP(Proj5!$F$4*(Proj5!H14-Proj5!$F$2)))*(2*Proj5!$F$3*EXP(-Proj5!$F$6*(Proj5!H14-Proj5!$F$2))/(1+EXP(-Proj5!$F$6*(Proj5!H14-Proj5!$F$2)))+Proj5!$F$5),"")</f>
      </c>
      <c r="V16" s="341">
        <f>IF(T16&lt;&gt;"",(Proj5!I14-U16)^2,"")</f>
      </c>
      <c r="W16" s="339">
        <f>IF(Proj6!I14="","",IF(Proj6!I14="NA","","x"))</f>
      </c>
      <c r="X16" s="562">
        <f>IF(COUNT(Proj6!I$2:I$26)&gt;0,EXP(Proj6!$F$4*(Proj6!H14-Proj6!$F$2))/(1+EXP(Proj6!$F$4*(Proj6!H14-Proj6!$F$2)))*(2*Proj6!$F$3*EXP(-Proj6!$F$6*(Proj6!H14-Proj6!$F$2))/(1+EXP(-Proj6!$F$6*(Proj6!H14-Proj6!$F$2)))+Proj6!$F$5),"")</f>
      </c>
      <c r="Y16" s="341">
        <f>IF(W16&lt;&gt;"",(Proj6!I14-X16)^2,"")</f>
      </c>
      <c r="Z16" s="339">
        <f>IF(Proj7!I14="","",IF(Proj7!I14="NA","","x"))</f>
      </c>
      <c r="AA16" s="562">
        <f>IF(COUNT(Proj7!I$2:I$26)&gt;0,EXP(Proj7!$F$4*(Proj7!H14-Proj7!$F$2))/(1+EXP(Proj7!$F$4*(Proj7!H14-Proj7!$F$2)))*(2*Proj7!$F$3*EXP(-Proj7!$F$6*(Proj7!H14-Proj7!$F$2))/(1+EXP(-Proj7!$F$6*(Proj7!H14-Proj7!$F$2)))+Proj7!$F$5),"")</f>
      </c>
      <c r="AB16" s="341">
        <f>IF(Z16&lt;&gt;"",(Proj7!I14-AA16)^2,"")</f>
      </c>
      <c r="AC16" s="339">
        <f>IF(Proj8!I14="","",IF(Proj8!I14="NA","","x"))</f>
      </c>
      <c r="AD16" s="562">
        <f>IF(COUNT(Proj8!I$2:I$26)&gt;0,EXP(Proj8!$F$4*(Proj8!H14-Proj8!$F$2))/(1+EXP(Proj8!$F$4*(Proj8!H14-Proj8!$F$2)))*(2*Proj8!$F$3*EXP(-Proj8!$F$6*(Proj8!H14-Proj8!$F$2))/(1+EXP(-Proj8!$F$6*(Proj8!H14-Proj8!$F$2)))+Proj8!$F$5),"")</f>
      </c>
      <c r="AE16" s="341">
        <f>IF(AC16&lt;&gt;"",(Proj8!I14-AD16)^2,"")</f>
      </c>
      <c r="AF16" s="339">
        <f>IF(Proj9!I14="","",IF(Proj9!I14="NA","","x"))</f>
      </c>
      <c r="AG16" s="562">
        <f>IF(COUNT(Proj9!I$2:I$26)&gt;0,EXP(Proj9!$F$4*(Proj9!H14-Proj9!$F$2))/(1+EXP(Proj9!$F$4*(Proj9!H14-Proj9!$F$2)))*(2*Proj9!$F$3*EXP(-Proj9!$F$6*(Proj9!H14-Proj9!$F$2))/(1+EXP(-Proj9!$F$6*(Proj9!H14-Proj9!$F$2)))+Proj9!$F$5),"")</f>
      </c>
      <c r="AH16" s="341">
        <f>IF(AF16&lt;&gt;"",(Proj9!I14-AG16)^2,"")</f>
      </c>
      <c r="AI16" s="339">
        <f>IF(Proj10!I14="","",IF(Proj10!I14="NA","","x"))</f>
      </c>
      <c r="AJ16" s="562">
        <f>IF(COUNT(Proj10!I$2:I$26)&gt;0,EXP(Proj10!$F$4*(Proj10!H14-Proj10!$F$2))/(1+EXP(Proj10!$F$4*(Proj10!H14-Proj10!$F$2)))*(2*Proj10!$F$3*EXP(-Proj10!$F$6*(Proj10!H14-Proj10!$F$2))/(1+EXP(-Proj10!$F$6*(Proj10!H14-Proj10!$F$2)))+Proj10!$F$5),"")</f>
      </c>
      <c r="AK16" s="341">
        <f>IF(AI16&lt;&gt;"",(Proj10!I14-AJ16)^2,"")</f>
      </c>
    </row>
    <row r="17" spans="1:37" s="342" customFormat="1" ht="12.75">
      <c r="A17" s="507">
        <v>1993</v>
      </c>
      <c r="B17" s="339">
        <f>IF(ProjPays!I15="","",IF(ProjPays!I15="NA","","x"))</f>
      </c>
      <c r="C17" s="562">
        <f>IF(COUNT(ProjPays!I$2:I$26)&gt;0,EXP(ProjPays!$F$4*(ProjPays!H15-ProjPays!$F$2))/(1+EXP(ProjPays!$F$4*(ProjPays!H15-ProjPays!$F$2)))*(2*ProjPays!$F$3*EXP(-ProjPays!$F$6*(ProjPays!H15-ProjPays!$F$2))/(1+EXP(-ProjPays!$F$6*(ProjPays!H15-ProjPays!$F$2)))+ProjPays!$F$5),"")</f>
      </c>
      <c r="D17" s="341">
        <f>IF(B17&lt;&gt;"",(ProjPays!I15-C17)^2,"")</f>
      </c>
      <c r="E17" s="339">
        <f>IF(ProjRemaining!I15="","",IF(ProjRemaining!I15="NA","","x"))</f>
      </c>
      <c r="F17" s="562">
        <f>IF(COUNT(ProjRemaining!I$2:I$26)&gt;0,EXP(ProjRemaining!$F$4*(ProjRemaining!H15-ProjRemaining!$F$2))/(1+EXP(ProjRemaining!$F$4*(ProjRemaining!H15-ProjRemaining!$F$2)))*(2*ProjRemaining!$F$3*EXP(-ProjRemaining!$F$6*(ProjRemaining!H15-ProjRemaining!$F$2))/(1+EXP(-ProjRemaining!$F$6*(ProjRemaining!H15-ProjRemaining!$F$2)))+ProjRemaining!$F$5),"")</f>
      </c>
      <c r="G17" s="341">
        <f>IF(E17&lt;&gt;"",(ProjRemaining!I15-F17)^2,"")</f>
      </c>
      <c r="H17" s="339">
        <f>IF(Proj1!I15="","",IF(Proj1!I15="NA","","x"))</f>
      </c>
      <c r="I17" s="562">
        <f>IF(COUNT(Proj1!I$2:I$26)&gt;0,EXP(Proj1!$F$4*(Proj1!H15-Proj1!$F$2))/(1+EXP(Proj1!$F$4*(Proj1!H15-Proj1!$F$2)))*(2*Proj1!$F$3*EXP(-Proj1!$F$6*(Proj1!H15-Proj1!$F$2))/(1+EXP(-Proj1!$F$6*(Proj1!H15-Proj1!$F$2)))+Proj1!$F$5),"")</f>
      </c>
      <c r="J17" s="341">
        <f>IF(H17&lt;&gt;"",(Proj1!I15-I17)^2,"")</f>
      </c>
      <c r="K17" s="339">
        <f>IF(Proj2!I15="","",IF(Proj2!I15="NA","","x"))</f>
      </c>
      <c r="L17" s="562">
        <f>IF(COUNT(Proj2!I$2:I$26)&gt;0,EXP(Proj2!$F$4*(Proj2!H15-Proj2!$F$2))/(1+EXP(Proj2!$F$4*(Proj2!H15-Proj2!$F$2)))*(2*Proj2!$F$3*EXP(-Proj2!$F$6*(Proj2!H15-Proj2!$F$2))/(1+EXP(-Proj2!$F$6*(Proj2!H15-Proj2!$F$2)))+Proj2!$F$5),"")</f>
      </c>
      <c r="M17" s="341">
        <f>IF(K17&lt;&gt;"",(Proj2!I15-L17)^2,"")</f>
      </c>
      <c r="N17" s="339">
        <f>IF(Proj3!I15="","",IF(Proj3!I15="NA","","x"))</f>
      </c>
      <c r="O17" s="562">
        <f>IF(COUNT(Proj3!I$2:I$26)&gt;0,EXP(Proj3!$F$4*(Proj3!H15-Proj3!$F$2))/(1+EXP(Proj3!$F$4*(Proj3!H15-Proj3!$F$2)))*(2*Proj3!$F$3*EXP(-Proj3!$F$6*(Proj3!H15-Proj3!$F$2))/(1+EXP(-Proj3!$F$6*(Proj3!H15-Proj3!$F$2)))+Proj3!$F$5),"")</f>
      </c>
      <c r="P17" s="341">
        <f>IF(N17&lt;&gt;"",(Proj3!I15-O17)^2,"")</f>
      </c>
      <c r="Q17" s="339">
        <f>IF(Proj4!I15="","",IF(Proj4!I15="NA","","x"))</f>
      </c>
      <c r="R17" s="562">
        <f>IF(COUNT(Proj4!I$2:I$26)&gt;0,EXP(Proj4!$F$4*(Proj4!H15-Proj4!$F$2))/(1+EXP(Proj4!$F$4*(Proj4!H15-Proj4!$F$2)))*(2*Proj4!$F$3*EXP(-Proj4!$F$6*(Proj4!H15-Proj4!$F$2))/(1+EXP(-Proj4!$F$6*(Proj4!H15-Proj4!$F$2)))+Proj4!$F$5),"")</f>
      </c>
      <c r="S17" s="341">
        <f>IF(Q17&lt;&gt;"",(Proj4!I15-R17)^2,"")</f>
      </c>
      <c r="T17" s="339">
        <f>IF(Proj5!I15="","",IF(Proj5!I15="NA","","x"))</f>
      </c>
      <c r="U17" s="562">
        <f>IF(COUNT(Proj5!I$2:I$26)&gt;0,EXP(Proj5!$F$4*(Proj5!H15-Proj5!$F$2))/(1+EXP(Proj5!$F$4*(Proj5!H15-Proj5!$F$2)))*(2*Proj5!$F$3*EXP(-Proj5!$F$6*(Proj5!H15-Proj5!$F$2))/(1+EXP(-Proj5!$F$6*(Proj5!H15-Proj5!$F$2)))+Proj5!$F$5),"")</f>
      </c>
      <c r="V17" s="341">
        <f>IF(T17&lt;&gt;"",(Proj5!I15-U17)^2,"")</f>
      </c>
      <c r="W17" s="339">
        <f>IF(Proj6!I15="","",IF(Proj6!I15="NA","","x"))</f>
      </c>
      <c r="X17" s="562">
        <f>IF(COUNT(Proj6!I$2:I$26)&gt;0,EXP(Proj6!$F$4*(Proj6!H15-Proj6!$F$2))/(1+EXP(Proj6!$F$4*(Proj6!H15-Proj6!$F$2)))*(2*Proj6!$F$3*EXP(-Proj6!$F$6*(Proj6!H15-Proj6!$F$2))/(1+EXP(-Proj6!$F$6*(Proj6!H15-Proj6!$F$2)))+Proj6!$F$5),"")</f>
      </c>
      <c r="Y17" s="341">
        <f>IF(W17&lt;&gt;"",(Proj6!I15-X17)^2,"")</f>
      </c>
      <c r="Z17" s="339">
        <f>IF(Proj7!I15="","",IF(Proj7!I15="NA","","x"))</f>
      </c>
      <c r="AA17" s="562">
        <f>IF(COUNT(Proj7!I$2:I$26)&gt;0,EXP(Proj7!$F$4*(Proj7!H15-Proj7!$F$2))/(1+EXP(Proj7!$F$4*(Proj7!H15-Proj7!$F$2)))*(2*Proj7!$F$3*EXP(-Proj7!$F$6*(Proj7!H15-Proj7!$F$2))/(1+EXP(-Proj7!$F$6*(Proj7!H15-Proj7!$F$2)))+Proj7!$F$5),"")</f>
      </c>
      <c r="AB17" s="341">
        <f>IF(Z17&lt;&gt;"",(Proj7!I15-AA17)^2,"")</f>
      </c>
      <c r="AC17" s="339">
        <f>IF(Proj8!I15="","",IF(Proj8!I15="NA","","x"))</f>
      </c>
      <c r="AD17" s="562">
        <f>IF(COUNT(Proj8!I$2:I$26)&gt;0,EXP(Proj8!$F$4*(Proj8!H15-Proj8!$F$2))/(1+EXP(Proj8!$F$4*(Proj8!H15-Proj8!$F$2)))*(2*Proj8!$F$3*EXP(-Proj8!$F$6*(Proj8!H15-Proj8!$F$2))/(1+EXP(-Proj8!$F$6*(Proj8!H15-Proj8!$F$2)))+Proj8!$F$5),"")</f>
      </c>
      <c r="AE17" s="341">
        <f>IF(AC17&lt;&gt;"",(Proj8!I15-AD17)^2,"")</f>
      </c>
      <c r="AF17" s="339">
        <f>IF(Proj9!I15="","",IF(Proj9!I15="NA","","x"))</f>
      </c>
      <c r="AG17" s="562">
        <f>IF(COUNT(Proj9!I$2:I$26)&gt;0,EXP(Proj9!$F$4*(Proj9!H15-Proj9!$F$2))/(1+EXP(Proj9!$F$4*(Proj9!H15-Proj9!$F$2)))*(2*Proj9!$F$3*EXP(-Proj9!$F$6*(Proj9!H15-Proj9!$F$2))/(1+EXP(-Proj9!$F$6*(Proj9!H15-Proj9!$F$2)))+Proj9!$F$5),"")</f>
      </c>
      <c r="AH17" s="341">
        <f>IF(AF17&lt;&gt;"",(Proj9!I15-AG17)^2,"")</f>
      </c>
      <c r="AI17" s="339">
        <f>IF(Proj10!I15="","",IF(Proj10!I15="NA","","x"))</f>
      </c>
      <c r="AJ17" s="562">
        <f>IF(COUNT(Proj10!I$2:I$26)&gt;0,EXP(Proj10!$F$4*(Proj10!H15-Proj10!$F$2))/(1+EXP(Proj10!$F$4*(Proj10!H15-Proj10!$F$2)))*(2*Proj10!$F$3*EXP(-Proj10!$F$6*(Proj10!H15-Proj10!$F$2))/(1+EXP(-Proj10!$F$6*(Proj10!H15-Proj10!$F$2)))+Proj10!$F$5),"")</f>
      </c>
      <c r="AK17" s="341">
        <f>IF(AI17&lt;&gt;"",(Proj10!I15-AJ17)^2,"")</f>
      </c>
    </row>
    <row r="18" spans="1:37" s="342" customFormat="1" ht="12.75">
      <c r="A18" s="507">
        <v>1994</v>
      </c>
      <c r="B18" s="339">
        <f>IF(ProjPays!I16="","",IF(ProjPays!I16="NA","","x"))</f>
      </c>
      <c r="C18" s="562">
        <f>IF(COUNT(ProjPays!I$2:I$26)&gt;0,EXP(ProjPays!$F$4*(ProjPays!H16-ProjPays!$F$2))/(1+EXP(ProjPays!$F$4*(ProjPays!H16-ProjPays!$F$2)))*(2*ProjPays!$F$3*EXP(-ProjPays!$F$6*(ProjPays!H16-ProjPays!$F$2))/(1+EXP(-ProjPays!$F$6*(ProjPays!H16-ProjPays!$F$2)))+ProjPays!$F$5),"")</f>
      </c>
      <c r="D18" s="341">
        <f>IF(B18&lt;&gt;"",(ProjPays!I16-C18)^2,"")</f>
      </c>
      <c r="E18" s="339">
        <f>IF(ProjRemaining!I16="","",IF(ProjRemaining!I16="NA","","x"))</f>
      </c>
      <c r="F18" s="562">
        <f>IF(COUNT(ProjRemaining!I$2:I$26)&gt;0,EXP(ProjRemaining!$F$4*(ProjRemaining!H16-ProjRemaining!$F$2))/(1+EXP(ProjRemaining!$F$4*(ProjRemaining!H16-ProjRemaining!$F$2)))*(2*ProjRemaining!$F$3*EXP(-ProjRemaining!$F$6*(ProjRemaining!H16-ProjRemaining!$F$2))/(1+EXP(-ProjRemaining!$F$6*(ProjRemaining!H16-ProjRemaining!$F$2)))+ProjRemaining!$F$5),"")</f>
      </c>
      <c r="G18" s="341">
        <f>IF(E18&lt;&gt;"",(ProjRemaining!I16-F18)^2,"")</f>
      </c>
      <c r="H18" s="339">
        <f>IF(Proj1!I16="","",IF(Proj1!I16="NA","","x"))</f>
      </c>
      <c r="I18" s="562">
        <f>IF(COUNT(Proj1!I$2:I$26)&gt;0,EXP(Proj1!$F$4*(Proj1!H16-Proj1!$F$2))/(1+EXP(Proj1!$F$4*(Proj1!H16-Proj1!$F$2)))*(2*Proj1!$F$3*EXP(-Proj1!$F$6*(Proj1!H16-Proj1!$F$2))/(1+EXP(-Proj1!$F$6*(Proj1!H16-Proj1!$F$2)))+Proj1!$F$5),"")</f>
      </c>
      <c r="J18" s="341">
        <f>IF(H18&lt;&gt;"",(Proj1!I16-I18)^2,"")</f>
      </c>
      <c r="K18" s="339">
        <f>IF(Proj2!I16="","",IF(Proj2!I16="NA","","x"))</f>
      </c>
      <c r="L18" s="562">
        <f>IF(COUNT(Proj2!I$2:I$26)&gt;0,EXP(Proj2!$F$4*(Proj2!H16-Proj2!$F$2))/(1+EXP(Proj2!$F$4*(Proj2!H16-Proj2!$F$2)))*(2*Proj2!$F$3*EXP(-Proj2!$F$6*(Proj2!H16-Proj2!$F$2))/(1+EXP(-Proj2!$F$6*(Proj2!H16-Proj2!$F$2)))+Proj2!$F$5),"")</f>
      </c>
      <c r="M18" s="341">
        <f>IF(K18&lt;&gt;"",(Proj2!I16-L18)^2,"")</f>
      </c>
      <c r="N18" s="339">
        <f>IF(Proj3!I16="","",IF(Proj3!I16="NA","","x"))</f>
      </c>
      <c r="O18" s="562">
        <f>IF(COUNT(Proj3!I$2:I$26)&gt;0,EXP(Proj3!$F$4*(Proj3!H16-Proj3!$F$2))/(1+EXP(Proj3!$F$4*(Proj3!H16-Proj3!$F$2)))*(2*Proj3!$F$3*EXP(-Proj3!$F$6*(Proj3!H16-Proj3!$F$2))/(1+EXP(-Proj3!$F$6*(Proj3!H16-Proj3!$F$2)))+Proj3!$F$5),"")</f>
      </c>
      <c r="P18" s="341">
        <f>IF(N18&lt;&gt;"",(Proj3!I16-O18)^2,"")</f>
      </c>
      <c r="Q18" s="339">
        <f>IF(Proj4!I16="","",IF(Proj4!I16="NA","","x"))</f>
      </c>
      <c r="R18" s="562">
        <f>IF(COUNT(Proj4!I$2:I$26)&gt;0,EXP(Proj4!$F$4*(Proj4!H16-Proj4!$F$2))/(1+EXP(Proj4!$F$4*(Proj4!H16-Proj4!$F$2)))*(2*Proj4!$F$3*EXP(-Proj4!$F$6*(Proj4!H16-Proj4!$F$2))/(1+EXP(-Proj4!$F$6*(Proj4!H16-Proj4!$F$2)))+Proj4!$F$5),"")</f>
      </c>
      <c r="S18" s="341">
        <f>IF(Q18&lt;&gt;"",(Proj4!I16-R18)^2,"")</f>
      </c>
      <c r="T18" s="339">
        <f>IF(Proj5!I16="","",IF(Proj5!I16="NA","","x"))</f>
      </c>
      <c r="U18" s="562">
        <f>IF(COUNT(Proj5!I$2:I$26)&gt;0,EXP(Proj5!$F$4*(Proj5!H16-Proj5!$F$2))/(1+EXP(Proj5!$F$4*(Proj5!H16-Proj5!$F$2)))*(2*Proj5!$F$3*EXP(-Proj5!$F$6*(Proj5!H16-Proj5!$F$2))/(1+EXP(-Proj5!$F$6*(Proj5!H16-Proj5!$F$2)))+Proj5!$F$5),"")</f>
      </c>
      <c r="V18" s="341">
        <f>IF(T18&lt;&gt;"",(Proj5!I16-U18)^2,"")</f>
      </c>
      <c r="W18" s="339">
        <f>IF(Proj6!I16="","",IF(Proj6!I16="NA","","x"))</f>
      </c>
      <c r="X18" s="562">
        <f>IF(COUNT(Proj6!I$2:I$26)&gt;0,EXP(Proj6!$F$4*(Proj6!H16-Proj6!$F$2))/(1+EXP(Proj6!$F$4*(Proj6!H16-Proj6!$F$2)))*(2*Proj6!$F$3*EXP(-Proj6!$F$6*(Proj6!H16-Proj6!$F$2))/(1+EXP(-Proj6!$F$6*(Proj6!H16-Proj6!$F$2)))+Proj6!$F$5),"")</f>
      </c>
      <c r="Y18" s="341">
        <f>IF(W18&lt;&gt;"",(Proj6!I16-X18)^2,"")</f>
      </c>
      <c r="Z18" s="339">
        <f>IF(Proj7!I16="","",IF(Proj7!I16="NA","","x"))</f>
      </c>
      <c r="AA18" s="562">
        <f>IF(COUNT(Proj7!I$2:I$26)&gt;0,EXP(Proj7!$F$4*(Proj7!H16-Proj7!$F$2))/(1+EXP(Proj7!$F$4*(Proj7!H16-Proj7!$F$2)))*(2*Proj7!$F$3*EXP(-Proj7!$F$6*(Proj7!H16-Proj7!$F$2))/(1+EXP(-Proj7!$F$6*(Proj7!H16-Proj7!$F$2)))+Proj7!$F$5),"")</f>
      </c>
      <c r="AB18" s="341">
        <f>IF(Z18&lt;&gt;"",(Proj7!I16-AA18)^2,"")</f>
      </c>
      <c r="AC18" s="339">
        <f>IF(Proj8!I16="","",IF(Proj8!I16="NA","","x"))</f>
      </c>
      <c r="AD18" s="562">
        <f>IF(COUNT(Proj8!I$2:I$26)&gt;0,EXP(Proj8!$F$4*(Proj8!H16-Proj8!$F$2))/(1+EXP(Proj8!$F$4*(Proj8!H16-Proj8!$F$2)))*(2*Proj8!$F$3*EXP(-Proj8!$F$6*(Proj8!H16-Proj8!$F$2))/(1+EXP(-Proj8!$F$6*(Proj8!H16-Proj8!$F$2)))+Proj8!$F$5),"")</f>
      </c>
      <c r="AE18" s="341">
        <f>IF(AC18&lt;&gt;"",(Proj8!I16-AD18)^2,"")</f>
      </c>
      <c r="AF18" s="339">
        <f>IF(Proj9!I16="","",IF(Proj9!I16="NA","","x"))</f>
      </c>
      <c r="AG18" s="562">
        <f>IF(COUNT(Proj9!I$2:I$26)&gt;0,EXP(Proj9!$F$4*(Proj9!H16-Proj9!$F$2))/(1+EXP(Proj9!$F$4*(Proj9!H16-Proj9!$F$2)))*(2*Proj9!$F$3*EXP(-Proj9!$F$6*(Proj9!H16-Proj9!$F$2))/(1+EXP(-Proj9!$F$6*(Proj9!H16-Proj9!$F$2)))+Proj9!$F$5),"")</f>
      </c>
      <c r="AH18" s="341">
        <f>IF(AF18&lt;&gt;"",(Proj9!I16-AG18)^2,"")</f>
      </c>
      <c r="AI18" s="339">
        <f>IF(Proj10!I16="","",IF(Proj10!I16="NA","","x"))</f>
      </c>
      <c r="AJ18" s="562">
        <f>IF(COUNT(Proj10!I$2:I$26)&gt;0,EXP(Proj10!$F$4*(Proj10!H16-Proj10!$F$2))/(1+EXP(Proj10!$F$4*(Proj10!H16-Proj10!$F$2)))*(2*Proj10!$F$3*EXP(-Proj10!$F$6*(Proj10!H16-Proj10!$F$2))/(1+EXP(-Proj10!$F$6*(Proj10!H16-Proj10!$F$2)))+Proj10!$F$5),"")</f>
      </c>
      <c r="AK18" s="341">
        <f>IF(AI18&lt;&gt;"",(Proj10!I16-AJ18)^2,"")</f>
      </c>
    </row>
    <row r="19" spans="1:37" s="342" customFormat="1" ht="12.75">
      <c r="A19" s="507">
        <v>1995</v>
      </c>
      <c r="B19" s="339">
        <f>IF(ProjPays!I17="","",IF(ProjPays!I17="NA","","x"))</f>
      </c>
      <c r="C19" s="562">
        <f>IF(COUNT(ProjPays!I$2:I$26)&gt;0,EXP(ProjPays!$F$4*(ProjPays!H17-ProjPays!$F$2))/(1+EXP(ProjPays!$F$4*(ProjPays!H17-ProjPays!$F$2)))*(2*ProjPays!$F$3*EXP(-ProjPays!$F$6*(ProjPays!H17-ProjPays!$F$2))/(1+EXP(-ProjPays!$F$6*(ProjPays!H17-ProjPays!$F$2)))+ProjPays!$F$5),"")</f>
      </c>
      <c r="D19" s="341">
        <f>IF(B19&lt;&gt;"",(ProjPays!I17-C19)^2,"")</f>
      </c>
      <c r="E19" s="339">
        <f>IF(ProjRemaining!I17="","",IF(ProjRemaining!I17="NA","","x"))</f>
      </c>
      <c r="F19" s="562">
        <f>IF(COUNT(ProjRemaining!I$2:I$26)&gt;0,EXP(ProjRemaining!$F$4*(ProjRemaining!H17-ProjRemaining!$F$2))/(1+EXP(ProjRemaining!$F$4*(ProjRemaining!H17-ProjRemaining!$F$2)))*(2*ProjRemaining!$F$3*EXP(-ProjRemaining!$F$6*(ProjRemaining!H17-ProjRemaining!$F$2))/(1+EXP(-ProjRemaining!$F$6*(ProjRemaining!H17-ProjRemaining!$F$2)))+ProjRemaining!$F$5),"")</f>
      </c>
      <c r="G19" s="341">
        <f>IF(E19&lt;&gt;"",(ProjRemaining!I17-F19)^2,"")</f>
      </c>
      <c r="H19" s="339">
        <f>IF(Proj1!I17="","",IF(Proj1!I17="NA","","x"))</f>
      </c>
      <c r="I19" s="562">
        <f>IF(COUNT(Proj1!I$2:I$26)&gt;0,EXP(Proj1!$F$4*(Proj1!H17-Proj1!$F$2))/(1+EXP(Proj1!$F$4*(Proj1!H17-Proj1!$F$2)))*(2*Proj1!$F$3*EXP(-Proj1!$F$6*(Proj1!H17-Proj1!$F$2))/(1+EXP(-Proj1!$F$6*(Proj1!H17-Proj1!$F$2)))+Proj1!$F$5),"")</f>
      </c>
      <c r="J19" s="341">
        <f>IF(H19&lt;&gt;"",(Proj1!I17-I19)^2,"")</f>
      </c>
      <c r="K19" s="339">
        <f>IF(Proj2!I17="","",IF(Proj2!I17="NA","","x"))</f>
      </c>
      <c r="L19" s="562">
        <f>IF(COUNT(Proj2!I$2:I$26)&gt;0,EXP(Proj2!$F$4*(Proj2!H17-Proj2!$F$2))/(1+EXP(Proj2!$F$4*(Proj2!H17-Proj2!$F$2)))*(2*Proj2!$F$3*EXP(-Proj2!$F$6*(Proj2!H17-Proj2!$F$2))/(1+EXP(-Proj2!$F$6*(Proj2!H17-Proj2!$F$2)))+Proj2!$F$5),"")</f>
      </c>
      <c r="M19" s="341">
        <f>IF(K19&lt;&gt;"",(Proj2!I17-L19)^2,"")</f>
      </c>
      <c r="N19" s="339">
        <f>IF(Proj3!I17="","",IF(Proj3!I17="NA","","x"))</f>
      </c>
      <c r="O19" s="562">
        <f>IF(COUNT(Proj3!I$2:I$26)&gt;0,EXP(Proj3!$F$4*(Proj3!H17-Proj3!$F$2))/(1+EXP(Proj3!$F$4*(Proj3!H17-Proj3!$F$2)))*(2*Proj3!$F$3*EXP(-Proj3!$F$6*(Proj3!H17-Proj3!$F$2))/(1+EXP(-Proj3!$F$6*(Proj3!H17-Proj3!$F$2)))+Proj3!$F$5),"")</f>
      </c>
      <c r="P19" s="341">
        <f>IF(N19&lt;&gt;"",(Proj3!I17-O19)^2,"")</f>
      </c>
      <c r="Q19" s="339">
        <f>IF(Proj4!I17="","",IF(Proj4!I17="NA","","x"))</f>
      </c>
      <c r="R19" s="562">
        <f>IF(COUNT(Proj4!I$2:I$26)&gt;0,EXP(Proj4!$F$4*(Proj4!H17-Proj4!$F$2))/(1+EXP(Proj4!$F$4*(Proj4!H17-Proj4!$F$2)))*(2*Proj4!$F$3*EXP(-Proj4!$F$6*(Proj4!H17-Proj4!$F$2))/(1+EXP(-Proj4!$F$6*(Proj4!H17-Proj4!$F$2)))+Proj4!$F$5),"")</f>
      </c>
      <c r="S19" s="341">
        <f>IF(Q19&lt;&gt;"",(Proj4!I17-R19)^2,"")</f>
      </c>
      <c r="T19" s="339">
        <f>IF(Proj5!I17="","",IF(Proj5!I17="NA","","x"))</f>
      </c>
      <c r="U19" s="562">
        <f>IF(COUNT(Proj5!I$2:I$26)&gt;0,EXP(Proj5!$F$4*(Proj5!H17-Proj5!$F$2))/(1+EXP(Proj5!$F$4*(Proj5!H17-Proj5!$F$2)))*(2*Proj5!$F$3*EXP(-Proj5!$F$6*(Proj5!H17-Proj5!$F$2))/(1+EXP(-Proj5!$F$6*(Proj5!H17-Proj5!$F$2)))+Proj5!$F$5),"")</f>
      </c>
      <c r="V19" s="341">
        <f>IF(T19&lt;&gt;"",(Proj5!I17-U19)^2,"")</f>
      </c>
      <c r="W19" s="339">
        <f>IF(Proj6!I17="","",IF(Proj6!I17="NA","","x"))</f>
      </c>
      <c r="X19" s="562">
        <f>IF(COUNT(Proj6!I$2:I$26)&gt;0,EXP(Proj6!$F$4*(Proj6!H17-Proj6!$F$2))/(1+EXP(Proj6!$F$4*(Proj6!H17-Proj6!$F$2)))*(2*Proj6!$F$3*EXP(-Proj6!$F$6*(Proj6!H17-Proj6!$F$2))/(1+EXP(-Proj6!$F$6*(Proj6!H17-Proj6!$F$2)))+Proj6!$F$5),"")</f>
      </c>
      <c r="Y19" s="341">
        <f>IF(W19&lt;&gt;"",(Proj6!I17-X19)^2,"")</f>
      </c>
      <c r="Z19" s="339">
        <f>IF(Proj7!I17="","",IF(Proj7!I17="NA","","x"))</f>
      </c>
      <c r="AA19" s="562">
        <f>IF(COUNT(Proj7!I$2:I$26)&gt;0,EXP(Proj7!$F$4*(Proj7!H17-Proj7!$F$2))/(1+EXP(Proj7!$F$4*(Proj7!H17-Proj7!$F$2)))*(2*Proj7!$F$3*EXP(-Proj7!$F$6*(Proj7!H17-Proj7!$F$2))/(1+EXP(-Proj7!$F$6*(Proj7!H17-Proj7!$F$2)))+Proj7!$F$5),"")</f>
      </c>
      <c r="AB19" s="341">
        <f>IF(Z19&lt;&gt;"",(Proj7!I17-AA19)^2,"")</f>
      </c>
      <c r="AC19" s="339">
        <f>IF(Proj8!I17="","",IF(Proj8!I17="NA","","x"))</f>
      </c>
      <c r="AD19" s="562">
        <f>IF(COUNT(Proj8!I$2:I$26)&gt;0,EXP(Proj8!$F$4*(Proj8!H17-Proj8!$F$2))/(1+EXP(Proj8!$F$4*(Proj8!H17-Proj8!$F$2)))*(2*Proj8!$F$3*EXP(-Proj8!$F$6*(Proj8!H17-Proj8!$F$2))/(1+EXP(-Proj8!$F$6*(Proj8!H17-Proj8!$F$2)))+Proj8!$F$5),"")</f>
      </c>
      <c r="AE19" s="341">
        <f>IF(AC19&lt;&gt;"",(Proj8!I17-AD19)^2,"")</f>
      </c>
      <c r="AF19" s="339">
        <f>IF(Proj9!I17="","",IF(Proj9!I17="NA","","x"))</f>
      </c>
      <c r="AG19" s="562">
        <f>IF(COUNT(Proj9!I$2:I$26)&gt;0,EXP(Proj9!$F$4*(Proj9!H17-Proj9!$F$2))/(1+EXP(Proj9!$F$4*(Proj9!H17-Proj9!$F$2)))*(2*Proj9!$F$3*EXP(-Proj9!$F$6*(Proj9!H17-Proj9!$F$2))/(1+EXP(-Proj9!$F$6*(Proj9!H17-Proj9!$F$2)))+Proj9!$F$5),"")</f>
      </c>
      <c r="AH19" s="341">
        <f>IF(AF19&lt;&gt;"",(Proj9!I17-AG19)^2,"")</f>
      </c>
      <c r="AI19" s="339">
        <f>IF(Proj10!I17="","",IF(Proj10!I17="NA","","x"))</f>
      </c>
      <c r="AJ19" s="562">
        <f>IF(COUNT(Proj10!I$2:I$26)&gt;0,EXP(Proj10!$F$4*(Proj10!H17-Proj10!$F$2))/(1+EXP(Proj10!$F$4*(Proj10!H17-Proj10!$F$2)))*(2*Proj10!$F$3*EXP(-Proj10!$F$6*(Proj10!H17-Proj10!$F$2))/(1+EXP(-Proj10!$F$6*(Proj10!H17-Proj10!$F$2)))+Proj10!$F$5),"")</f>
      </c>
      <c r="AK19" s="341">
        <f>IF(AI19&lt;&gt;"",(Proj10!I17-AJ19)^2,"")</f>
      </c>
    </row>
    <row r="20" spans="1:37" s="342" customFormat="1" ht="12.75">
      <c r="A20" s="507">
        <v>1996</v>
      </c>
      <c r="B20" s="339">
        <f>IF(ProjPays!I18="","",IF(ProjPays!I18="NA","","x"))</f>
      </c>
      <c r="C20" s="562">
        <f>IF(COUNT(ProjPays!I$2:I$26)&gt;0,EXP(ProjPays!$F$4*(ProjPays!H18-ProjPays!$F$2))/(1+EXP(ProjPays!$F$4*(ProjPays!H18-ProjPays!$F$2)))*(2*ProjPays!$F$3*EXP(-ProjPays!$F$6*(ProjPays!H18-ProjPays!$F$2))/(1+EXP(-ProjPays!$F$6*(ProjPays!H18-ProjPays!$F$2)))+ProjPays!$F$5),"")</f>
      </c>
      <c r="D20" s="341">
        <f>IF(B20&lt;&gt;"",(ProjPays!I18-C20)^2,"")</f>
      </c>
      <c r="E20" s="339">
        <f>IF(ProjRemaining!I18="","",IF(ProjRemaining!I18="NA","","x"))</f>
      </c>
      <c r="F20" s="562">
        <f>IF(COUNT(ProjRemaining!I$2:I$26)&gt;0,EXP(ProjRemaining!$F$4*(ProjRemaining!H18-ProjRemaining!$F$2))/(1+EXP(ProjRemaining!$F$4*(ProjRemaining!H18-ProjRemaining!$F$2)))*(2*ProjRemaining!$F$3*EXP(-ProjRemaining!$F$6*(ProjRemaining!H18-ProjRemaining!$F$2))/(1+EXP(-ProjRemaining!$F$6*(ProjRemaining!H18-ProjRemaining!$F$2)))+ProjRemaining!$F$5),"")</f>
      </c>
      <c r="G20" s="341">
        <f>IF(E20&lt;&gt;"",(ProjRemaining!I18-F20)^2,"")</f>
      </c>
      <c r="H20" s="339">
        <f>IF(Proj1!I18="","",IF(Proj1!I18="NA","","x"))</f>
      </c>
      <c r="I20" s="562">
        <f>IF(COUNT(Proj1!I$2:I$26)&gt;0,EXP(Proj1!$F$4*(Proj1!H18-Proj1!$F$2))/(1+EXP(Proj1!$F$4*(Proj1!H18-Proj1!$F$2)))*(2*Proj1!$F$3*EXP(-Proj1!$F$6*(Proj1!H18-Proj1!$F$2))/(1+EXP(-Proj1!$F$6*(Proj1!H18-Proj1!$F$2)))+Proj1!$F$5),"")</f>
      </c>
      <c r="J20" s="341">
        <f>IF(H20&lt;&gt;"",(Proj1!I18-I20)^2,"")</f>
      </c>
      <c r="K20" s="339">
        <f>IF(Proj2!I18="","",IF(Proj2!I18="NA","","x"))</f>
      </c>
      <c r="L20" s="562">
        <f>IF(COUNT(Proj2!I$2:I$26)&gt;0,EXP(Proj2!$F$4*(Proj2!H18-Proj2!$F$2))/(1+EXP(Proj2!$F$4*(Proj2!H18-Proj2!$F$2)))*(2*Proj2!$F$3*EXP(-Proj2!$F$6*(Proj2!H18-Proj2!$F$2))/(1+EXP(-Proj2!$F$6*(Proj2!H18-Proj2!$F$2)))+Proj2!$F$5),"")</f>
      </c>
      <c r="M20" s="341">
        <f>IF(K20&lt;&gt;"",(Proj2!I18-L20)^2,"")</f>
      </c>
      <c r="N20" s="339">
        <f>IF(Proj3!I18="","",IF(Proj3!I18="NA","","x"))</f>
      </c>
      <c r="O20" s="562">
        <f>IF(COUNT(Proj3!I$2:I$26)&gt;0,EXP(Proj3!$F$4*(Proj3!H18-Proj3!$F$2))/(1+EXP(Proj3!$F$4*(Proj3!H18-Proj3!$F$2)))*(2*Proj3!$F$3*EXP(-Proj3!$F$6*(Proj3!H18-Proj3!$F$2))/(1+EXP(-Proj3!$F$6*(Proj3!H18-Proj3!$F$2)))+Proj3!$F$5),"")</f>
      </c>
      <c r="P20" s="341">
        <f>IF(N20&lt;&gt;"",(Proj3!I18-O20)^2,"")</f>
      </c>
      <c r="Q20" s="339">
        <f>IF(Proj4!I18="","",IF(Proj4!I18="NA","","x"))</f>
      </c>
      <c r="R20" s="562">
        <f>IF(COUNT(Proj4!I$2:I$26)&gt;0,EXP(Proj4!$F$4*(Proj4!H18-Proj4!$F$2))/(1+EXP(Proj4!$F$4*(Proj4!H18-Proj4!$F$2)))*(2*Proj4!$F$3*EXP(-Proj4!$F$6*(Proj4!H18-Proj4!$F$2))/(1+EXP(-Proj4!$F$6*(Proj4!H18-Proj4!$F$2)))+Proj4!$F$5),"")</f>
      </c>
      <c r="S20" s="341">
        <f>IF(Q20&lt;&gt;"",(Proj4!I18-R20)^2,"")</f>
      </c>
      <c r="T20" s="339">
        <f>IF(Proj5!I18="","",IF(Proj5!I18="NA","","x"))</f>
      </c>
      <c r="U20" s="562">
        <f>IF(COUNT(Proj5!I$2:I$26)&gt;0,EXP(Proj5!$F$4*(Proj5!H18-Proj5!$F$2))/(1+EXP(Proj5!$F$4*(Proj5!H18-Proj5!$F$2)))*(2*Proj5!$F$3*EXP(-Proj5!$F$6*(Proj5!H18-Proj5!$F$2))/(1+EXP(-Proj5!$F$6*(Proj5!H18-Proj5!$F$2)))+Proj5!$F$5),"")</f>
      </c>
      <c r="V20" s="341">
        <f>IF(T20&lt;&gt;"",(Proj5!I18-U20)^2,"")</f>
      </c>
      <c r="W20" s="339">
        <f>IF(Proj6!I18="","",IF(Proj6!I18="NA","","x"))</f>
      </c>
      <c r="X20" s="562">
        <f>IF(COUNT(Proj6!I$2:I$26)&gt;0,EXP(Proj6!$F$4*(Proj6!H18-Proj6!$F$2))/(1+EXP(Proj6!$F$4*(Proj6!H18-Proj6!$F$2)))*(2*Proj6!$F$3*EXP(-Proj6!$F$6*(Proj6!H18-Proj6!$F$2))/(1+EXP(-Proj6!$F$6*(Proj6!H18-Proj6!$F$2)))+Proj6!$F$5),"")</f>
      </c>
      <c r="Y20" s="341">
        <f>IF(W20&lt;&gt;"",(Proj6!I18-X20)^2,"")</f>
      </c>
      <c r="Z20" s="339">
        <f>IF(Proj7!I18="","",IF(Proj7!I18="NA","","x"))</f>
      </c>
      <c r="AA20" s="562">
        <f>IF(COUNT(Proj7!I$2:I$26)&gt;0,EXP(Proj7!$F$4*(Proj7!H18-Proj7!$F$2))/(1+EXP(Proj7!$F$4*(Proj7!H18-Proj7!$F$2)))*(2*Proj7!$F$3*EXP(-Proj7!$F$6*(Proj7!H18-Proj7!$F$2))/(1+EXP(-Proj7!$F$6*(Proj7!H18-Proj7!$F$2)))+Proj7!$F$5),"")</f>
      </c>
      <c r="AB20" s="341">
        <f>IF(Z20&lt;&gt;"",(Proj7!I18-AA20)^2,"")</f>
      </c>
      <c r="AC20" s="339">
        <f>IF(Proj8!I18="","",IF(Proj8!I18="NA","","x"))</f>
      </c>
      <c r="AD20" s="562">
        <f>IF(COUNT(Proj8!I$2:I$26)&gt;0,EXP(Proj8!$F$4*(Proj8!H18-Proj8!$F$2))/(1+EXP(Proj8!$F$4*(Proj8!H18-Proj8!$F$2)))*(2*Proj8!$F$3*EXP(-Proj8!$F$6*(Proj8!H18-Proj8!$F$2))/(1+EXP(-Proj8!$F$6*(Proj8!H18-Proj8!$F$2)))+Proj8!$F$5),"")</f>
      </c>
      <c r="AE20" s="341">
        <f>IF(AC20&lt;&gt;"",(Proj8!I18-AD20)^2,"")</f>
      </c>
      <c r="AF20" s="339">
        <f>IF(Proj9!I18="","",IF(Proj9!I18="NA","","x"))</f>
      </c>
      <c r="AG20" s="562">
        <f>IF(COUNT(Proj9!I$2:I$26)&gt;0,EXP(Proj9!$F$4*(Proj9!H18-Proj9!$F$2))/(1+EXP(Proj9!$F$4*(Proj9!H18-Proj9!$F$2)))*(2*Proj9!$F$3*EXP(-Proj9!$F$6*(Proj9!H18-Proj9!$F$2))/(1+EXP(-Proj9!$F$6*(Proj9!H18-Proj9!$F$2)))+Proj9!$F$5),"")</f>
      </c>
      <c r="AH20" s="341">
        <f>IF(AF20&lt;&gt;"",(Proj9!I18-AG20)^2,"")</f>
      </c>
      <c r="AI20" s="339">
        <f>IF(Proj10!I18="","",IF(Proj10!I18="NA","","x"))</f>
      </c>
      <c r="AJ20" s="562">
        <f>IF(COUNT(Proj10!I$2:I$26)&gt;0,EXP(Proj10!$F$4*(Proj10!H18-Proj10!$F$2))/(1+EXP(Proj10!$F$4*(Proj10!H18-Proj10!$F$2)))*(2*Proj10!$F$3*EXP(-Proj10!$F$6*(Proj10!H18-Proj10!$F$2))/(1+EXP(-Proj10!$F$6*(Proj10!H18-Proj10!$F$2)))+Proj10!$F$5),"")</f>
      </c>
      <c r="AK20" s="341">
        <f>IF(AI20&lt;&gt;"",(Proj10!I18-AJ20)^2,"")</f>
      </c>
    </row>
    <row r="21" spans="1:37" s="342" customFormat="1" ht="12.75">
      <c r="A21" s="507">
        <v>1997</v>
      </c>
      <c r="B21" s="339">
        <f>IF(ProjPays!I19="","",IF(ProjPays!I19="NA","","x"))</f>
      </c>
      <c r="C21" s="562">
        <f>IF(COUNT(ProjPays!I$2:I$26)&gt;0,EXP(ProjPays!$F$4*(ProjPays!H19-ProjPays!$F$2))/(1+EXP(ProjPays!$F$4*(ProjPays!H19-ProjPays!$F$2)))*(2*ProjPays!$F$3*EXP(-ProjPays!$F$6*(ProjPays!H19-ProjPays!$F$2))/(1+EXP(-ProjPays!$F$6*(ProjPays!H19-ProjPays!$F$2)))+ProjPays!$F$5),"")</f>
      </c>
      <c r="D21" s="341">
        <f>IF(B21&lt;&gt;"",(ProjPays!I19-C21)^2,"")</f>
      </c>
      <c r="E21" s="339">
        <f>IF(ProjRemaining!I19="","",IF(ProjRemaining!I19="NA","","x"))</f>
      </c>
      <c r="F21" s="562">
        <f>IF(COUNT(ProjRemaining!I$2:I$26)&gt;0,EXP(ProjRemaining!$F$4*(ProjRemaining!H19-ProjRemaining!$F$2))/(1+EXP(ProjRemaining!$F$4*(ProjRemaining!H19-ProjRemaining!$F$2)))*(2*ProjRemaining!$F$3*EXP(-ProjRemaining!$F$6*(ProjRemaining!H19-ProjRemaining!$F$2))/(1+EXP(-ProjRemaining!$F$6*(ProjRemaining!H19-ProjRemaining!$F$2)))+ProjRemaining!$F$5),"")</f>
      </c>
      <c r="G21" s="341">
        <f>IF(E21&lt;&gt;"",(ProjRemaining!I19-F21)^2,"")</f>
      </c>
      <c r="H21" s="339">
        <f>IF(Proj1!I19="","",IF(Proj1!I19="NA","","x"))</f>
      </c>
      <c r="I21" s="562">
        <f>IF(COUNT(Proj1!I$2:I$26)&gt;0,EXP(Proj1!$F$4*(Proj1!H19-Proj1!$F$2))/(1+EXP(Proj1!$F$4*(Proj1!H19-Proj1!$F$2)))*(2*Proj1!$F$3*EXP(-Proj1!$F$6*(Proj1!H19-Proj1!$F$2))/(1+EXP(-Proj1!$F$6*(Proj1!H19-Proj1!$F$2)))+Proj1!$F$5),"")</f>
      </c>
      <c r="J21" s="341">
        <f>IF(H21&lt;&gt;"",(Proj1!I19-I21)^2,"")</f>
      </c>
      <c r="K21" s="339">
        <f>IF(Proj2!I19="","",IF(Proj2!I19="NA","","x"))</f>
      </c>
      <c r="L21" s="562">
        <f>IF(COUNT(Proj2!I$2:I$26)&gt;0,EXP(Proj2!$F$4*(Proj2!H19-Proj2!$F$2))/(1+EXP(Proj2!$F$4*(Proj2!H19-Proj2!$F$2)))*(2*Proj2!$F$3*EXP(-Proj2!$F$6*(Proj2!H19-Proj2!$F$2))/(1+EXP(-Proj2!$F$6*(Proj2!H19-Proj2!$F$2)))+Proj2!$F$5),"")</f>
      </c>
      <c r="M21" s="341">
        <f>IF(K21&lt;&gt;"",(Proj2!I19-L21)^2,"")</f>
      </c>
      <c r="N21" s="339">
        <f>IF(Proj3!I19="","",IF(Proj3!I19="NA","","x"))</f>
      </c>
      <c r="O21" s="562">
        <f>IF(COUNT(Proj3!I$2:I$26)&gt;0,EXP(Proj3!$F$4*(Proj3!H19-Proj3!$F$2))/(1+EXP(Proj3!$F$4*(Proj3!H19-Proj3!$F$2)))*(2*Proj3!$F$3*EXP(-Proj3!$F$6*(Proj3!H19-Proj3!$F$2))/(1+EXP(-Proj3!$F$6*(Proj3!H19-Proj3!$F$2)))+Proj3!$F$5),"")</f>
      </c>
      <c r="P21" s="341">
        <f>IF(N21&lt;&gt;"",(Proj3!I19-O21)^2,"")</f>
      </c>
      <c r="Q21" s="339">
        <f>IF(Proj4!I19="","",IF(Proj4!I19="NA","","x"))</f>
      </c>
      <c r="R21" s="562">
        <f>IF(COUNT(Proj4!I$2:I$26)&gt;0,EXP(Proj4!$F$4*(Proj4!H19-Proj4!$F$2))/(1+EXP(Proj4!$F$4*(Proj4!H19-Proj4!$F$2)))*(2*Proj4!$F$3*EXP(-Proj4!$F$6*(Proj4!H19-Proj4!$F$2))/(1+EXP(-Proj4!$F$6*(Proj4!H19-Proj4!$F$2)))+Proj4!$F$5),"")</f>
      </c>
      <c r="S21" s="341">
        <f>IF(Q21&lt;&gt;"",(Proj4!I19-R21)^2,"")</f>
      </c>
      <c r="T21" s="339">
        <f>IF(Proj5!I19="","",IF(Proj5!I19="NA","","x"))</f>
      </c>
      <c r="U21" s="562">
        <f>IF(COUNT(Proj5!I$2:I$26)&gt;0,EXP(Proj5!$F$4*(Proj5!H19-Proj5!$F$2))/(1+EXP(Proj5!$F$4*(Proj5!H19-Proj5!$F$2)))*(2*Proj5!$F$3*EXP(-Proj5!$F$6*(Proj5!H19-Proj5!$F$2))/(1+EXP(-Proj5!$F$6*(Proj5!H19-Proj5!$F$2)))+Proj5!$F$5),"")</f>
      </c>
      <c r="V21" s="341">
        <f>IF(T21&lt;&gt;"",(Proj5!I19-U21)^2,"")</f>
      </c>
      <c r="W21" s="339">
        <f>IF(Proj6!I19="","",IF(Proj6!I19="NA","","x"))</f>
      </c>
      <c r="X21" s="562">
        <f>IF(COUNT(Proj6!I$2:I$26)&gt;0,EXP(Proj6!$F$4*(Proj6!H19-Proj6!$F$2))/(1+EXP(Proj6!$F$4*(Proj6!H19-Proj6!$F$2)))*(2*Proj6!$F$3*EXP(-Proj6!$F$6*(Proj6!H19-Proj6!$F$2))/(1+EXP(-Proj6!$F$6*(Proj6!H19-Proj6!$F$2)))+Proj6!$F$5),"")</f>
      </c>
      <c r="Y21" s="341">
        <f>IF(W21&lt;&gt;"",(Proj6!I19-X21)^2,"")</f>
      </c>
      <c r="Z21" s="339">
        <f>IF(Proj7!I19="","",IF(Proj7!I19="NA","","x"))</f>
      </c>
      <c r="AA21" s="562">
        <f>IF(COUNT(Proj7!I$2:I$26)&gt;0,EXP(Proj7!$F$4*(Proj7!H19-Proj7!$F$2))/(1+EXP(Proj7!$F$4*(Proj7!H19-Proj7!$F$2)))*(2*Proj7!$F$3*EXP(-Proj7!$F$6*(Proj7!H19-Proj7!$F$2))/(1+EXP(-Proj7!$F$6*(Proj7!H19-Proj7!$F$2)))+Proj7!$F$5),"")</f>
      </c>
      <c r="AB21" s="341">
        <f>IF(Z21&lt;&gt;"",(Proj7!I19-AA21)^2,"")</f>
      </c>
      <c r="AC21" s="339">
        <f>IF(Proj8!I19="","",IF(Proj8!I19="NA","","x"))</f>
      </c>
      <c r="AD21" s="562">
        <f>IF(COUNT(Proj8!I$2:I$26)&gt;0,EXP(Proj8!$F$4*(Proj8!H19-Proj8!$F$2))/(1+EXP(Proj8!$F$4*(Proj8!H19-Proj8!$F$2)))*(2*Proj8!$F$3*EXP(-Proj8!$F$6*(Proj8!H19-Proj8!$F$2))/(1+EXP(-Proj8!$F$6*(Proj8!H19-Proj8!$F$2)))+Proj8!$F$5),"")</f>
      </c>
      <c r="AE21" s="341">
        <f>IF(AC21&lt;&gt;"",(Proj8!I19-AD21)^2,"")</f>
      </c>
      <c r="AF21" s="339">
        <f>IF(Proj9!I19="","",IF(Proj9!I19="NA","","x"))</f>
      </c>
      <c r="AG21" s="562">
        <f>IF(COUNT(Proj9!I$2:I$26)&gt;0,EXP(Proj9!$F$4*(Proj9!H19-Proj9!$F$2))/(1+EXP(Proj9!$F$4*(Proj9!H19-Proj9!$F$2)))*(2*Proj9!$F$3*EXP(-Proj9!$F$6*(Proj9!H19-Proj9!$F$2))/(1+EXP(-Proj9!$F$6*(Proj9!H19-Proj9!$F$2)))+Proj9!$F$5),"")</f>
      </c>
      <c r="AH21" s="341">
        <f>IF(AF21&lt;&gt;"",(Proj9!I19-AG21)^2,"")</f>
      </c>
      <c r="AI21" s="339">
        <f>IF(Proj10!I19="","",IF(Proj10!I19="NA","","x"))</f>
      </c>
      <c r="AJ21" s="562">
        <f>IF(COUNT(Proj10!I$2:I$26)&gt;0,EXP(Proj10!$F$4*(Proj10!H19-Proj10!$F$2))/(1+EXP(Proj10!$F$4*(Proj10!H19-Proj10!$F$2)))*(2*Proj10!$F$3*EXP(-Proj10!$F$6*(Proj10!H19-Proj10!$F$2))/(1+EXP(-Proj10!$F$6*(Proj10!H19-Proj10!$F$2)))+Proj10!$F$5),"")</f>
      </c>
      <c r="AK21" s="341">
        <f>IF(AI21&lt;&gt;"",(Proj10!I19-AJ21)^2,"")</f>
      </c>
    </row>
    <row r="22" spans="1:37" s="342" customFormat="1" ht="12.75">
      <c r="A22" s="507">
        <v>1998</v>
      </c>
      <c r="B22" s="339">
        <f>IF(ProjPays!I20="","",IF(ProjPays!I20="NA","","x"))</f>
      </c>
      <c r="C22" s="562">
        <f>IF(COUNT(ProjPays!I$2:I$26)&gt;0,EXP(ProjPays!$F$4*(ProjPays!H20-ProjPays!$F$2))/(1+EXP(ProjPays!$F$4*(ProjPays!H20-ProjPays!$F$2)))*(2*ProjPays!$F$3*EXP(-ProjPays!$F$6*(ProjPays!H20-ProjPays!$F$2))/(1+EXP(-ProjPays!$F$6*(ProjPays!H20-ProjPays!$F$2)))+ProjPays!$F$5),"")</f>
      </c>
      <c r="D22" s="341">
        <f>IF(B22&lt;&gt;"",(ProjPays!I20-C22)^2,"")</f>
      </c>
      <c r="E22" s="339">
        <f>IF(ProjRemaining!I20="","",IF(ProjRemaining!I20="NA","","x"))</f>
      </c>
      <c r="F22" s="562">
        <f>IF(COUNT(ProjRemaining!I$2:I$26)&gt;0,EXP(ProjRemaining!$F$4*(ProjRemaining!H20-ProjRemaining!$F$2))/(1+EXP(ProjRemaining!$F$4*(ProjRemaining!H20-ProjRemaining!$F$2)))*(2*ProjRemaining!$F$3*EXP(-ProjRemaining!$F$6*(ProjRemaining!H20-ProjRemaining!$F$2))/(1+EXP(-ProjRemaining!$F$6*(ProjRemaining!H20-ProjRemaining!$F$2)))+ProjRemaining!$F$5),"")</f>
      </c>
      <c r="G22" s="341">
        <f>IF(E22&lt;&gt;"",(ProjRemaining!I20-F22)^2,"")</f>
      </c>
      <c r="H22" s="339">
        <f>IF(Proj1!I20="","",IF(Proj1!I20="NA","","x"))</f>
      </c>
      <c r="I22" s="562">
        <f>IF(COUNT(Proj1!I$2:I$26)&gt;0,EXP(Proj1!$F$4*(Proj1!H20-Proj1!$F$2))/(1+EXP(Proj1!$F$4*(Proj1!H20-Proj1!$F$2)))*(2*Proj1!$F$3*EXP(-Proj1!$F$6*(Proj1!H20-Proj1!$F$2))/(1+EXP(-Proj1!$F$6*(Proj1!H20-Proj1!$F$2)))+Proj1!$F$5),"")</f>
      </c>
      <c r="J22" s="341">
        <f>IF(H22&lt;&gt;"",(Proj1!I20-I22)^2,"")</f>
      </c>
      <c r="K22" s="339">
        <f>IF(Proj2!I20="","",IF(Proj2!I20="NA","","x"))</f>
      </c>
      <c r="L22" s="562">
        <f>IF(COUNT(Proj2!I$2:I$26)&gt;0,EXP(Proj2!$F$4*(Proj2!H20-Proj2!$F$2))/(1+EXP(Proj2!$F$4*(Proj2!H20-Proj2!$F$2)))*(2*Proj2!$F$3*EXP(-Proj2!$F$6*(Proj2!H20-Proj2!$F$2))/(1+EXP(-Proj2!$F$6*(Proj2!H20-Proj2!$F$2)))+Proj2!$F$5),"")</f>
      </c>
      <c r="M22" s="341">
        <f>IF(K22&lt;&gt;"",(Proj2!I20-L22)^2,"")</f>
      </c>
      <c r="N22" s="339">
        <f>IF(Proj3!I20="","",IF(Proj3!I20="NA","","x"))</f>
      </c>
      <c r="O22" s="562">
        <f>IF(COUNT(Proj3!I$2:I$26)&gt;0,EXP(Proj3!$F$4*(Proj3!H20-Proj3!$F$2))/(1+EXP(Proj3!$F$4*(Proj3!H20-Proj3!$F$2)))*(2*Proj3!$F$3*EXP(-Proj3!$F$6*(Proj3!H20-Proj3!$F$2))/(1+EXP(-Proj3!$F$6*(Proj3!H20-Proj3!$F$2)))+Proj3!$F$5),"")</f>
      </c>
      <c r="P22" s="341">
        <f>IF(N22&lt;&gt;"",(Proj3!I20-O22)^2,"")</f>
      </c>
      <c r="Q22" s="339">
        <f>IF(Proj4!I20="","",IF(Proj4!I20="NA","","x"))</f>
      </c>
      <c r="R22" s="562">
        <f>IF(COUNT(Proj4!I$2:I$26)&gt;0,EXP(Proj4!$F$4*(Proj4!H20-Proj4!$F$2))/(1+EXP(Proj4!$F$4*(Proj4!H20-Proj4!$F$2)))*(2*Proj4!$F$3*EXP(-Proj4!$F$6*(Proj4!H20-Proj4!$F$2))/(1+EXP(-Proj4!$F$6*(Proj4!H20-Proj4!$F$2)))+Proj4!$F$5),"")</f>
      </c>
      <c r="S22" s="341">
        <f>IF(Q22&lt;&gt;"",(Proj4!I20-R22)^2,"")</f>
      </c>
      <c r="T22" s="339">
        <f>IF(Proj5!I20="","",IF(Proj5!I20="NA","","x"))</f>
      </c>
      <c r="U22" s="562">
        <f>IF(COUNT(Proj5!I$2:I$26)&gt;0,EXP(Proj5!$F$4*(Proj5!H20-Proj5!$F$2))/(1+EXP(Proj5!$F$4*(Proj5!H20-Proj5!$F$2)))*(2*Proj5!$F$3*EXP(-Proj5!$F$6*(Proj5!H20-Proj5!$F$2))/(1+EXP(-Proj5!$F$6*(Proj5!H20-Proj5!$F$2)))+Proj5!$F$5),"")</f>
      </c>
      <c r="V22" s="341">
        <f>IF(T22&lt;&gt;"",(Proj5!I20-U22)^2,"")</f>
      </c>
      <c r="W22" s="339">
        <f>IF(Proj6!I20="","",IF(Proj6!I20="NA","","x"))</f>
      </c>
      <c r="X22" s="562">
        <f>IF(COUNT(Proj6!I$2:I$26)&gt;0,EXP(Proj6!$F$4*(Proj6!H20-Proj6!$F$2))/(1+EXP(Proj6!$F$4*(Proj6!H20-Proj6!$F$2)))*(2*Proj6!$F$3*EXP(-Proj6!$F$6*(Proj6!H20-Proj6!$F$2))/(1+EXP(-Proj6!$F$6*(Proj6!H20-Proj6!$F$2)))+Proj6!$F$5),"")</f>
      </c>
      <c r="Y22" s="341">
        <f>IF(W22&lt;&gt;"",(Proj6!I20-X22)^2,"")</f>
      </c>
      <c r="Z22" s="339">
        <f>IF(Proj7!I20="","",IF(Proj7!I20="NA","","x"))</f>
      </c>
      <c r="AA22" s="562">
        <f>IF(COUNT(Proj7!I$2:I$26)&gt;0,EXP(Proj7!$F$4*(Proj7!H20-Proj7!$F$2))/(1+EXP(Proj7!$F$4*(Proj7!H20-Proj7!$F$2)))*(2*Proj7!$F$3*EXP(-Proj7!$F$6*(Proj7!H20-Proj7!$F$2))/(1+EXP(-Proj7!$F$6*(Proj7!H20-Proj7!$F$2)))+Proj7!$F$5),"")</f>
      </c>
      <c r="AB22" s="341">
        <f>IF(Z22&lt;&gt;"",(Proj7!I20-AA22)^2,"")</f>
      </c>
      <c r="AC22" s="339">
        <f>IF(Proj8!I20="","",IF(Proj8!I20="NA","","x"))</f>
      </c>
      <c r="AD22" s="562">
        <f>IF(COUNT(Proj8!I$2:I$26)&gt;0,EXP(Proj8!$F$4*(Proj8!H20-Proj8!$F$2))/(1+EXP(Proj8!$F$4*(Proj8!H20-Proj8!$F$2)))*(2*Proj8!$F$3*EXP(-Proj8!$F$6*(Proj8!H20-Proj8!$F$2))/(1+EXP(-Proj8!$F$6*(Proj8!H20-Proj8!$F$2)))+Proj8!$F$5),"")</f>
      </c>
      <c r="AE22" s="341">
        <f>IF(AC22&lt;&gt;"",(Proj8!I20-AD22)^2,"")</f>
      </c>
      <c r="AF22" s="339">
        <f>IF(Proj9!I20="","",IF(Proj9!I20="NA","","x"))</f>
      </c>
      <c r="AG22" s="562">
        <f>IF(COUNT(Proj9!I$2:I$26)&gt;0,EXP(Proj9!$F$4*(Proj9!H20-Proj9!$F$2))/(1+EXP(Proj9!$F$4*(Proj9!H20-Proj9!$F$2)))*(2*Proj9!$F$3*EXP(-Proj9!$F$6*(Proj9!H20-Proj9!$F$2))/(1+EXP(-Proj9!$F$6*(Proj9!H20-Proj9!$F$2)))+Proj9!$F$5),"")</f>
      </c>
      <c r="AH22" s="341">
        <f>IF(AF22&lt;&gt;"",(Proj9!I20-AG22)^2,"")</f>
      </c>
      <c r="AI22" s="339">
        <f>IF(Proj10!I20="","",IF(Proj10!I20="NA","","x"))</f>
      </c>
      <c r="AJ22" s="562">
        <f>IF(COUNT(Proj10!I$2:I$26)&gt;0,EXP(Proj10!$F$4*(Proj10!H20-Proj10!$F$2))/(1+EXP(Proj10!$F$4*(Proj10!H20-Proj10!$F$2)))*(2*Proj10!$F$3*EXP(-Proj10!$F$6*(Proj10!H20-Proj10!$F$2))/(1+EXP(-Proj10!$F$6*(Proj10!H20-Proj10!$F$2)))+Proj10!$F$5),"")</f>
      </c>
      <c r="AK22" s="341">
        <f>IF(AI22&lt;&gt;"",(Proj10!I20-AJ22)^2,"")</f>
      </c>
    </row>
    <row r="23" spans="1:37" s="342" customFormat="1" ht="12.75">
      <c r="A23" s="507">
        <v>1999</v>
      </c>
      <c r="B23" s="339">
        <f>IF(ProjPays!I21="","",IF(ProjPays!I21="NA","","x"))</f>
      </c>
      <c r="C23" s="562">
        <f>IF(COUNT(ProjPays!I$2:I$26)&gt;0,EXP(ProjPays!$F$4*(ProjPays!H21-ProjPays!$F$2))/(1+EXP(ProjPays!$F$4*(ProjPays!H21-ProjPays!$F$2)))*(2*ProjPays!$F$3*EXP(-ProjPays!$F$6*(ProjPays!H21-ProjPays!$F$2))/(1+EXP(-ProjPays!$F$6*(ProjPays!H21-ProjPays!$F$2)))+ProjPays!$F$5),"")</f>
      </c>
      <c r="D23" s="341">
        <f>IF(B23&lt;&gt;"",(ProjPays!I21-C23)^2,"")</f>
      </c>
      <c r="E23" s="339">
        <f>IF(ProjRemaining!I21="","",IF(ProjRemaining!I21="NA","","x"))</f>
      </c>
      <c r="F23" s="562">
        <f>IF(COUNT(ProjRemaining!I$2:I$26)&gt;0,EXP(ProjRemaining!$F$4*(ProjRemaining!H21-ProjRemaining!$F$2))/(1+EXP(ProjRemaining!$F$4*(ProjRemaining!H21-ProjRemaining!$F$2)))*(2*ProjRemaining!$F$3*EXP(-ProjRemaining!$F$6*(ProjRemaining!H21-ProjRemaining!$F$2))/(1+EXP(-ProjRemaining!$F$6*(ProjRemaining!H21-ProjRemaining!$F$2)))+ProjRemaining!$F$5),"")</f>
      </c>
      <c r="G23" s="341">
        <f>IF(E23&lt;&gt;"",(ProjRemaining!I21-F23)^2,"")</f>
      </c>
      <c r="H23" s="339">
        <f>IF(Proj1!I21="","",IF(Proj1!I21="NA","","x"))</f>
      </c>
      <c r="I23" s="562">
        <f>IF(COUNT(Proj1!I$2:I$26)&gt;0,EXP(Proj1!$F$4*(Proj1!H21-Proj1!$F$2))/(1+EXP(Proj1!$F$4*(Proj1!H21-Proj1!$F$2)))*(2*Proj1!$F$3*EXP(-Proj1!$F$6*(Proj1!H21-Proj1!$F$2))/(1+EXP(-Proj1!$F$6*(Proj1!H21-Proj1!$F$2)))+Proj1!$F$5),"")</f>
      </c>
      <c r="J23" s="341">
        <f>IF(H23&lt;&gt;"",(Proj1!I21-I23)^2,"")</f>
      </c>
      <c r="K23" s="339">
        <f>IF(Proj2!I21="","",IF(Proj2!I21="NA","","x"))</f>
      </c>
      <c r="L23" s="562">
        <f>IF(COUNT(Proj2!I$2:I$26)&gt;0,EXP(Proj2!$F$4*(Proj2!H21-Proj2!$F$2))/(1+EXP(Proj2!$F$4*(Proj2!H21-Proj2!$F$2)))*(2*Proj2!$F$3*EXP(-Proj2!$F$6*(Proj2!H21-Proj2!$F$2))/(1+EXP(-Proj2!$F$6*(Proj2!H21-Proj2!$F$2)))+Proj2!$F$5),"")</f>
      </c>
      <c r="M23" s="341">
        <f>IF(K23&lt;&gt;"",(Proj2!I21-L23)^2,"")</f>
      </c>
      <c r="N23" s="339">
        <f>IF(Proj3!I21="","",IF(Proj3!I21="NA","","x"))</f>
      </c>
      <c r="O23" s="562">
        <f>IF(COUNT(Proj3!I$2:I$26)&gt;0,EXP(Proj3!$F$4*(Proj3!H21-Proj3!$F$2))/(1+EXP(Proj3!$F$4*(Proj3!H21-Proj3!$F$2)))*(2*Proj3!$F$3*EXP(-Proj3!$F$6*(Proj3!H21-Proj3!$F$2))/(1+EXP(-Proj3!$F$6*(Proj3!H21-Proj3!$F$2)))+Proj3!$F$5),"")</f>
      </c>
      <c r="P23" s="341">
        <f>IF(N23&lt;&gt;"",(Proj3!I21-O23)^2,"")</f>
      </c>
      <c r="Q23" s="339">
        <f>IF(Proj4!I21="","",IF(Proj4!I21="NA","","x"))</f>
      </c>
      <c r="R23" s="562">
        <f>IF(COUNT(Proj4!I$2:I$26)&gt;0,EXP(Proj4!$F$4*(Proj4!H21-Proj4!$F$2))/(1+EXP(Proj4!$F$4*(Proj4!H21-Proj4!$F$2)))*(2*Proj4!$F$3*EXP(-Proj4!$F$6*(Proj4!H21-Proj4!$F$2))/(1+EXP(-Proj4!$F$6*(Proj4!H21-Proj4!$F$2)))+Proj4!$F$5),"")</f>
      </c>
      <c r="S23" s="341">
        <f>IF(Q23&lt;&gt;"",(Proj4!I21-R23)^2,"")</f>
      </c>
      <c r="T23" s="339">
        <f>IF(Proj5!I21="","",IF(Proj5!I21="NA","","x"))</f>
      </c>
      <c r="U23" s="562">
        <f>IF(COUNT(Proj5!I$2:I$26)&gt;0,EXP(Proj5!$F$4*(Proj5!H21-Proj5!$F$2))/(1+EXP(Proj5!$F$4*(Proj5!H21-Proj5!$F$2)))*(2*Proj5!$F$3*EXP(-Proj5!$F$6*(Proj5!H21-Proj5!$F$2))/(1+EXP(-Proj5!$F$6*(Proj5!H21-Proj5!$F$2)))+Proj5!$F$5),"")</f>
      </c>
      <c r="V23" s="341">
        <f>IF(T23&lt;&gt;"",(Proj5!I21-U23)^2,"")</f>
      </c>
      <c r="W23" s="339">
        <f>IF(Proj6!I21="","",IF(Proj6!I21="NA","","x"))</f>
      </c>
      <c r="X23" s="562">
        <f>IF(COUNT(Proj6!I$2:I$26)&gt;0,EXP(Proj6!$F$4*(Proj6!H21-Proj6!$F$2))/(1+EXP(Proj6!$F$4*(Proj6!H21-Proj6!$F$2)))*(2*Proj6!$F$3*EXP(-Proj6!$F$6*(Proj6!H21-Proj6!$F$2))/(1+EXP(-Proj6!$F$6*(Proj6!H21-Proj6!$F$2)))+Proj6!$F$5),"")</f>
      </c>
      <c r="Y23" s="341">
        <f>IF(W23&lt;&gt;"",(Proj6!I21-X23)^2,"")</f>
      </c>
      <c r="Z23" s="339">
        <f>IF(Proj7!I21="","",IF(Proj7!I21="NA","","x"))</f>
      </c>
      <c r="AA23" s="562">
        <f>IF(COUNT(Proj7!I$2:I$26)&gt;0,EXP(Proj7!$F$4*(Proj7!H21-Proj7!$F$2))/(1+EXP(Proj7!$F$4*(Proj7!H21-Proj7!$F$2)))*(2*Proj7!$F$3*EXP(-Proj7!$F$6*(Proj7!H21-Proj7!$F$2))/(1+EXP(-Proj7!$F$6*(Proj7!H21-Proj7!$F$2)))+Proj7!$F$5),"")</f>
      </c>
      <c r="AB23" s="341">
        <f>IF(Z23&lt;&gt;"",(Proj7!I21-AA23)^2,"")</f>
      </c>
      <c r="AC23" s="339">
        <f>IF(Proj8!I21="","",IF(Proj8!I21="NA","","x"))</f>
      </c>
      <c r="AD23" s="562">
        <f>IF(COUNT(Proj8!I$2:I$26)&gt;0,EXP(Proj8!$F$4*(Proj8!H21-Proj8!$F$2))/(1+EXP(Proj8!$F$4*(Proj8!H21-Proj8!$F$2)))*(2*Proj8!$F$3*EXP(-Proj8!$F$6*(Proj8!H21-Proj8!$F$2))/(1+EXP(-Proj8!$F$6*(Proj8!H21-Proj8!$F$2)))+Proj8!$F$5),"")</f>
      </c>
      <c r="AE23" s="341">
        <f>IF(AC23&lt;&gt;"",(Proj8!I21-AD23)^2,"")</f>
      </c>
      <c r="AF23" s="339">
        <f>IF(Proj9!I21="","",IF(Proj9!I21="NA","","x"))</f>
      </c>
      <c r="AG23" s="562">
        <f>IF(COUNT(Proj9!I$2:I$26)&gt;0,EXP(Proj9!$F$4*(Proj9!H21-Proj9!$F$2))/(1+EXP(Proj9!$F$4*(Proj9!H21-Proj9!$F$2)))*(2*Proj9!$F$3*EXP(-Proj9!$F$6*(Proj9!H21-Proj9!$F$2))/(1+EXP(-Proj9!$F$6*(Proj9!H21-Proj9!$F$2)))+Proj9!$F$5),"")</f>
      </c>
      <c r="AH23" s="341">
        <f>IF(AF23&lt;&gt;"",(Proj9!I21-AG23)^2,"")</f>
      </c>
      <c r="AI23" s="339">
        <f>IF(Proj10!I21="","",IF(Proj10!I21="NA","","x"))</f>
      </c>
      <c r="AJ23" s="562">
        <f>IF(COUNT(Proj10!I$2:I$26)&gt;0,EXP(Proj10!$F$4*(Proj10!H21-Proj10!$F$2))/(1+EXP(Proj10!$F$4*(Proj10!H21-Proj10!$F$2)))*(2*Proj10!$F$3*EXP(-Proj10!$F$6*(Proj10!H21-Proj10!$F$2))/(1+EXP(-Proj10!$F$6*(Proj10!H21-Proj10!$F$2)))+Proj10!$F$5),"")</f>
      </c>
      <c r="AK23" s="341">
        <f>IF(AI23&lt;&gt;"",(Proj10!I21-AJ23)^2,"")</f>
      </c>
    </row>
    <row r="24" spans="1:37" s="342" customFormat="1" ht="12.75">
      <c r="A24" s="507">
        <v>2000</v>
      </c>
      <c r="B24" s="339">
        <f>IF(ProjPays!I22="","",IF(ProjPays!I22="NA","","x"))</f>
      </c>
      <c r="C24" s="562">
        <f>IF(COUNT(ProjPays!I$2:I$26)&gt;0,EXP(ProjPays!$F$4*(ProjPays!H22-ProjPays!$F$2))/(1+EXP(ProjPays!$F$4*(ProjPays!H22-ProjPays!$F$2)))*(2*ProjPays!$F$3*EXP(-ProjPays!$F$6*(ProjPays!H22-ProjPays!$F$2))/(1+EXP(-ProjPays!$F$6*(ProjPays!H22-ProjPays!$F$2)))+ProjPays!$F$5),"")</f>
      </c>
      <c r="D24" s="341">
        <f>IF(B24&lt;&gt;"",(ProjPays!I22-C24)^2,"")</f>
      </c>
      <c r="E24" s="339">
        <f>IF(ProjRemaining!I22="","",IF(ProjRemaining!I22="NA","","x"))</f>
      </c>
      <c r="F24" s="562">
        <f>IF(COUNT(ProjRemaining!I$2:I$26)&gt;0,EXP(ProjRemaining!$F$4*(ProjRemaining!H22-ProjRemaining!$F$2))/(1+EXP(ProjRemaining!$F$4*(ProjRemaining!H22-ProjRemaining!$F$2)))*(2*ProjRemaining!$F$3*EXP(-ProjRemaining!$F$6*(ProjRemaining!H22-ProjRemaining!$F$2))/(1+EXP(-ProjRemaining!$F$6*(ProjRemaining!H22-ProjRemaining!$F$2)))+ProjRemaining!$F$5),"")</f>
      </c>
      <c r="G24" s="341">
        <f>IF(E24&lt;&gt;"",(ProjRemaining!I22-F24)^2,"")</f>
      </c>
      <c r="H24" s="339">
        <f>IF(Proj1!I22="","",IF(Proj1!I22="NA","","x"))</f>
      </c>
      <c r="I24" s="562">
        <f>IF(COUNT(Proj1!I$2:I$26)&gt;0,EXP(Proj1!$F$4*(Proj1!H22-Proj1!$F$2))/(1+EXP(Proj1!$F$4*(Proj1!H22-Proj1!$F$2)))*(2*Proj1!$F$3*EXP(-Proj1!$F$6*(Proj1!H22-Proj1!$F$2))/(1+EXP(-Proj1!$F$6*(Proj1!H22-Proj1!$F$2)))+Proj1!$F$5),"")</f>
      </c>
      <c r="J24" s="341">
        <f>IF(H24&lt;&gt;"",(Proj1!I22-I24)^2,"")</f>
      </c>
      <c r="K24" s="339">
        <f>IF(Proj2!I22="","",IF(Proj2!I22="NA","","x"))</f>
      </c>
      <c r="L24" s="562">
        <f>IF(COUNT(Proj2!I$2:I$26)&gt;0,EXP(Proj2!$F$4*(Proj2!H22-Proj2!$F$2))/(1+EXP(Proj2!$F$4*(Proj2!H22-Proj2!$F$2)))*(2*Proj2!$F$3*EXP(-Proj2!$F$6*(Proj2!H22-Proj2!$F$2))/(1+EXP(-Proj2!$F$6*(Proj2!H22-Proj2!$F$2)))+Proj2!$F$5),"")</f>
      </c>
      <c r="M24" s="341">
        <f>IF(K24&lt;&gt;"",(Proj2!I22-L24)^2,"")</f>
      </c>
      <c r="N24" s="339">
        <f>IF(Proj3!I22="","",IF(Proj3!I22="NA","","x"))</f>
      </c>
      <c r="O24" s="562">
        <f>IF(COUNT(Proj3!I$2:I$26)&gt;0,EXP(Proj3!$F$4*(Proj3!H22-Proj3!$F$2))/(1+EXP(Proj3!$F$4*(Proj3!H22-Proj3!$F$2)))*(2*Proj3!$F$3*EXP(-Proj3!$F$6*(Proj3!H22-Proj3!$F$2))/(1+EXP(-Proj3!$F$6*(Proj3!H22-Proj3!$F$2)))+Proj3!$F$5),"")</f>
      </c>
      <c r="P24" s="341">
        <f>IF(N24&lt;&gt;"",(Proj3!I22-O24)^2,"")</f>
      </c>
      <c r="Q24" s="339">
        <f>IF(Proj4!I22="","",IF(Proj4!I22="NA","","x"))</f>
      </c>
      <c r="R24" s="562">
        <f>IF(COUNT(Proj4!I$2:I$26)&gt;0,EXP(Proj4!$F$4*(Proj4!H22-Proj4!$F$2))/(1+EXP(Proj4!$F$4*(Proj4!H22-Proj4!$F$2)))*(2*Proj4!$F$3*EXP(-Proj4!$F$6*(Proj4!H22-Proj4!$F$2))/(1+EXP(-Proj4!$F$6*(Proj4!H22-Proj4!$F$2)))+Proj4!$F$5),"")</f>
      </c>
      <c r="S24" s="341">
        <f>IF(Q24&lt;&gt;"",(Proj4!I22-R24)^2,"")</f>
      </c>
      <c r="T24" s="339">
        <f>IF(Proj5!I22="","",IF(Proj5!I22="NA","","x"))</f>
      </c>
      <c r="U24" s="562">
        <f>IF(COUNT(Proj5!I$2:I$26)&gt;0,EXP(Proj5!$F$4*(Proj5!H22-Proj5!$F$2))/(1+EXP(Proj5!$F$4*(Proj5!H22-Proj5!$F$2)))*(2*Proj5!$F$3*EXP(-Proj5!$F$6*(Proj5!H22-Proj5!$F$2))/(1+EXP(-Proj5!$F$6*(Proj5!H22-Proj5!$F$2)))+Proj5!$F$5),"")</f>
      </c>
      <c r="V24" s="341">
        <f>IF(T24&lt;&gt;"",(Proj5!I22-U24)^2,"")</f>
      </c>
      <c r="W24" s="339">
        <f>IF(Proj6!I22="","",IF(Proj6!I22="NA","","x"))</f>
      </c>
      <c r="X24" s="562">
        <f>IF(COUNT(Proj6!I$2:I$26)&gt;0,EXP(Proj6!$F$4*(Proj6!H22-Proj6!$F$2))/(1+EXP(Proj6!$F$4*(Proj6!H22-Proj6!$F$2)))*(2*Proj6!$F$3*EXP(-Proj6!$F$6*(Proj6!H22-Proj6!$F$2))/(1+EXP(-Proj6!$F$6*(Proj6!H22-Proj6!$F$2)))+Proj6!$F$5),"")</f>
      </c>
      <c r="Y24" s="341">
        <f>IF(W24&lt;&gt;"",(Proj6!I22-X24)^2,"")</f>
      </c>
      <c r="Z24" s="339">
        <f>IF(Proj7!I22="","",IF(Proj7!I22="NA","","x"))</f>
      </c>
      <c r="AA24" s="562">
        <f>IF(COUNT(Proj7!I$2:I$26)&gt;0,EXP(Proj7!$F$4*(Proj7!H22-Proj7!$F$2))/(1+EXP(Proj7!$F$4*(Proj7!H22-Proj7!$F$2)))*(2*Proj7!$F$3*EXP(-Proj7!$F$6*(Proj7!H22-Proj7!$F$2))/(1+EXP(-Proj7!$F$6*(Proj7!H22-Proj7!$F$2)))+Proj7!$F$5),"")</f>
      </c>
      <c r="AB24" s="341">
        <f>IF(Z24&lt;&gt;"",(Proj7!I22-AA24)^2,"")</f>
      </c>
      <c r="AC24" s="339">
        <f>IF(Proj8!I22="","",IF(Proj8!I22="NA","","x"))</f>
      </c>
      <c r="AD24" s="562">
        <f>IF(COUNT(Proj8!I$2:I$26)&gt;0,EXP(Proj8!$F$4*(Proj8!H22-Proj8!$F$2))/(1+EXP(Proj8!$F$4*(Proj8!H22-Proj8!$F$2)))*(2*Proj8!$F$3*EXP(-Proj8!$F$6*(Proj8!H22-Proj8!$F$2))/(1+EXP(-Proj8!$F$6*(Proj8!H22-Proj8!$F$2)))+Proj8!$F$5),"")</f>
      </c>
      <c r="AE24" s="341">
        <f>IF(AC24&lt;&gt;"",(Proj8!I22-AD24)^2,"")</f>
      </c>
      <c r="AF24" s="339">
        <f>IF(Proj9!I22="","",IF(Proj9!I22="NA","","x"))</f>
      </c>
      <c r="AG24" s="562">
        <f>IF(COUNT(Proj9!I$2:I$26)&gt;0,EXP(Proj9!$F$4*(Proj9!H22-Proj9!$F$2))/(1+EXP(Proj9!$F$4*(Proj9!H22-Proj9!$F$2)))*(2*Proj9!$F$3*EXP(-Proj9!$F$6*(Proj9!H22-Proj9!$F$2))/(1+EXP(-Proj9!$F$6*(Proj9!H22-Proj9!$F$2)))+Proj9!$F$5),"")</f>
      </c>
      <c r="AH24" s="341">
        <f>IF(AF24&lt;&gt;"",(Proj9!I22-AG24)^2,"")</f>
      </c>
      <c r="AI24" s="339">
        <f>IF(Proj10!I22="","",IF(Proj10!I22="NA","","x"))</f>
      </c>
      <c r="AJ24" s="562">
        <f>IF(COUNT(Proj10!I$2:I$26)&gt;0,EXP(Proj10!$F$4*(Proj10!H22-Proj10!$F$2))/(1+EXP(Proj10!$F$4*(Proj10!H22-Proj10!$F$2)))*(2*Proj10!$F$3*EXP(-Proj10!$F$6*(Proj10!H22-Proj10!$F$2))/(1+EXP(-Proj10!$F$6*(Proj10!H22-Proj10!$F$2)))+Proj10!$F$5),"")</f>
      </c>
      <c r="AK24" s="341">
        <f>IF(AI24&lt;&gt;"",(Proj10!I22-AJ24)^2,"")</f>
      </c>
    </row>
    <row r="25" spans="1:37" s="342" customFormat="1" ht="12.75">
      <c r="A25" s="507">
        <v>2001</v>
      </c>
      <c r="B25" s="339">
        <f>IF(ProjPays!I23="","",IF(ProjPays!I23="NA","","x"))</f>
      </c>
      <c r="C25" s="562">
        <f>IF(COUNT(ProjPays!I$2:I$26)&gt;0,EXP(ProjPays!$F$4*(ProjPays!H23-ProjPays!$F$2))/(1+EXP(ProjPays!$F$4*(ProjPays!H23-ProjPays!$F$2)))*(2*ProjPays!$F$3*EXP(-ProjPays!$F$6*(ProjPays!H23-ProjPays!$F$2))/(1+EXP(-ProjPays!$F$6*(ProjPays!H23-ProjPays!$F$2)))+ProjPays!$F$5),"")</f>
      </c>
      <c r="D25" s="341">
        <f>IF(B25&lt;&gt;"",(ProjPays!I23-C25)^2,"")</f>
      </c>
      <c r="E25" s="339">
        <f>IF(ProjRemaining!I23="","",IF(ProjRemaining!I23="NA","","x"))</f>
      </c>
      <c r="F25" s="562">
        <f>IF(COUNT(ProjRemaining!I$2:I$26)&gt;0,EXP(ProjRemaining!$F$4*(ProjRemaining!H23-ProjRemaining!$F$2))/(1+EXP(ProjRemaining!$F$4*(ProjRemaining!H23-ProjRemaining!$F$2)))*(2*ProjRemaining!$F$3*EXP(-ProjRemaining!$F$6*(ProjRemaining!H23-ProjRemaining!$F$2))/(1+EXP(-ProjRemaining!$F$6*(ProjRemaining!H23-ProjRemaining!$F$2)))+ProjRemaining!$F$5),"")</f>
      </c>
      <c r="G25" s="341">
        <f>IF(E25&lt;&gt;"",(ProjRemaining!I23-F25)^2,"")</f>
      </c>
      <c r="H25" s="339">
        <f>IF(Proj1!I23="","",IF(Proj1!I23="NA","","x"))</f>
      </c>
      <c r="I25" s="562">
        <f>IF(COUNT(Proj1!I$2:I$26)&gt;0,EXP(Proj1!$F$4*(Proj1!H23-Proj1!$F$2))/(1+EXP(Proj1!$F$4*(Proj1!H23-Proj1!$F$2)))*(2*Proj1!$F$3*EXP(-Proj1!$F$6*(Proj1!H23-Proj1!$F$2))/(1+EXP(-Proj1!$F$6*(Proj1!H23-Proj1!$F$2)))+Proj1!$F$5),"")</f>
      </c>
      <c r="J25" s="341">
        <f>IF(H25&lt;&gt;"",(Proj1!I23-I25)^2,"")</f>
      </c>
      <c r="K25" s="339">
        <f>IF(Proj2!I23="","",IF(Proj2!I23="NA","","x"))</f>
      </c>
      <c r="L25" s="562">
        <f>IF(COUNT(Proj2!I$2:I$26)&gt;0,EXP(Proj2!$F$4*(Proj2!H23-Proj2!$F$2))/(1+EXP(Proj2!$F$4*(Proj2!H23-Proj2!$F$2)))*(2*Proj2!$F$3*EXP(-Proj2!$F$6*(Proj2!H23-Proj2!$F$2))/(1+EXP(-Proj2!$F$6*(Proj2!H23-Proj2!$F$2)))+Proj2!$F$5),"")</f>
      </c>
      <c r="M25" s="341">
        <f>IF(K25&lt;&gt;"",(Proj2!I23-L25)^2,"")</f>
      </c>
      <c r="N25" s="339">
        <f>IF(Proj3!I23="","",IF(Proj3!I23="NA","","x"))</f>
      </c>
      <c r="O25" s="562">
        <f>IF(COUNT(Proj3!I$2:I$26)&gt;0,EXP(Proj3!$F$4*(Proj3!H23-Proj3!$F$2))/(1+EXP(Proj3!$F$4*(Proj3!H23-Proj3!$F$2)))*(2*Proj3!$F$3*EXP(-Proj3!$F$6*(Proj3!H23-Proj3!$F$2))/(1+EXP(-Proj3!$F$6*(Proj3!H23-Proj3!$F$2)))+Proj3!$F$5),"")</f>
      </c>
      <c r="P25" s="341">
        <f>IF(N25&lt;&gt;"",(Proj3!I23-O25)^2,"")</f>
      </c>
      <c r="Q25" s="339">
        <f>IF(Proj4!I23="","",IF(Proj4!I23="NA","","x"))</f>
      </c>
      <c r="R25" s="562">
        <f>IF(COUNT(Proj4!I$2:I$26)&gt;0,EXP(Proj4!$F$4*(Proj4!H23-Proj4!$F$2))/(1+EXP(Proj4!$F$4*(Proj4!H23-Proj4!$F$2)))*(2*Proj4!$F$3*EXP(-Proj4!$F$6*(Proj4!H23-Proj4!$F$2))/(1+EXP(-Proj4!$F$6*(Proj4!H23-Proj4!$F$2)))+Proj4!$F$5),"")</f>
      </c>
      <c r="S25" s="341">
        <f>IF(Q25&lt;&gt;"",(Proj4!I23-R25)^2,"")</f>
      </c>
      <c r="T25" s="339">
        <f>IF(Proj5!I23="","",IF(Proj5!I23="NA","","x"))</f>
      </c>
      <c r="U25" s="562">
        <f>IF(COUNT(Proj5!I$2:I$26)&gt;0,EXP(Proj5!$F$4*(Proj5!H23-Proj5!$F$2))/(1+EXP(Proj5!$F$4*(Proj5!H23-Proj5!$F$2)))*(2*Proj5!$F$3*EXP(-Proj5!$F$6*(Proj5!H23-Proj5!$F$2))/(1+EXP(-Proj5!$F$6*(Proj5!H23-Proj5!$F$2)))+Proj5!$F$5),"")</f>
      </c>
      <c r="V25" s="341">
        <f>IF(T25&lt;&gt;"",(Proj5!I23-U25)^2,"")</f>
      </c>
      <c r="W25" s="339">
        <f>IF(Proj6!I23="","",IF(Proj6!I23="NA","","x"))</f>
      </c>
      <c r="X25" s="562">
        <f>IF(COUNT(Proj6!I$2:I$26)&gt;0,EXP(Proj6!$F$4*(Proj6!H23-Proj6!$F$2))/(1+EXP(Proj6!$F$4*(Proj6!H23-Proj6!$F$2)))*(2*Proj6!$F$3*EXP(-Proj6!$F$6*(Proj6!H23-Proj6!$F$2))/(1+EXP(-Proj6!$F$6*(Proj6!H23-Proj6!$F$2)))+Proj6!$F$5),"")</f>
      </c>
      <c r="Y25" s="341">
        <f>IF(W25&lt;&gt;"",(Proj6!I23-X25)^2,"")</f>
      </c>
      <c r="Z25" s="339">
        <f>IF(Proj7!I23="","",IF(Proj7!I23="NA","","x"))</f>
      </c>
      <c r="AA25" s="562">
        <f>IF(COUNT(Proj7!I$2:I$26)&gt;0,EXP(Proj7!$F$4*(Proj7!H23-Proj7!$F$2))/(1+EXP(Proj7!$F$4*(Proj7!H23-Proj7!$F$2)))*(2*Proj7!$F$3*EXP(-Proj7!$F$6*(Proj7!H23-Proj7!$F$2))/(1+EXP(-Proj7!$F$6*(Proj7!H23-Proj7!$F$2)))+Proj7!$F$5),"")</f>
      </c>
      <c r="AB25" s="341">
        <f>IF(Z25&lt;&gt;"",(Proj7!I23-AA25)^2,"")</f>
      </c>
      <c r="AC25" s="339">
        <f>IF(Proj8!I23="","",IF(Proj8!I23="NA","","x"))</f>
      </c>
      <c r="AD25" s="562">
        <f>IF(COUNT(Proj8!I$2:I$26)&gt;0,EXP(Proj8!$F$4*(Proj8!H23-Proj8!$F$2))/(1+EXP(Proj8!$F$4*(Proj8!H23-Proj8!$F$2)))*(2*Proj8!$F$3*EXP(-Proj8!$F$6*(Proj8!H23-Proj8!$F$2))/(1+EXP(-Proj8!$F$6*(Proj8!H23-Proj8!$F$2)))+Proj8!$F$5),"")</f>
      </c>
      <c r="AE25" s="341">
        <f>IF(AC25&lt;&gt;"",(Proj8!I23-AD25)^2,"")</f>
      </c>
      <c r="AF25" s="339">
        <f>IF(Proj9!I23="","",IF(Proj9!I23="NA","","x"))</f>
      </c>
      <c r="AG25" s="562">
        <f>IF(COUNT(Proj9!I$2:I$26)&gt;0,EXP(Proj9!$F$4*(Proj9!H23-Proj9!$F$2))/(1+EXP(Proj9!$F$4*(Proj9!H23-Proj9!$F$2)))*(2*Proj9!$F$3*EXP(-Proj9!$F$6*(Proj9!H23-Proj9!$F$2))/(1+EXP(-Proj9!$F$6*(Proj9!H23-Proj9!$F$2)))+Proj9!$F$5),"")</f>
      </c>
      <c r="AH25" s="341">
        <f>IF(AF25&lt;&gt;"",(Proj9!I23-AG25)^2,"")</f>
      </c>
      <c r="AI25" s="339">
        <f>IF(Proj10!I23="","",IF(Proj10!I23="NA","","x"))</f>
      </c>
      <c r="AJ25" s="562">
        <f>IF(COUNT(Proj10!I$2:I$26)&gt;0,EXP(Proj10!$F$4*(Proj10!H23-Proj10!$F$2))/(1+EXP(Proj10!$F$4*(Proj10!H23-Proj10!$F$2)))*(2*Proj10!$F$3*EXP(-Proj10!$F$6*(Proj10!H23-Proj10!$F$2))/(1+EXP(-Proj10!$F$6*(Proj10!H23-Proj10!$F$2)))+Proj10!$F$5),"")</f>
      </c>
      <c r="AK25" s="341">
        <f>IF(AI25&lt;&gt;"",(Proj10!I23-AJ25)^2,"")</f>
      </c>
    </row>
    <row r="26" spans="1:37" s="342" customFormat="1" ht="12.75">
      <c r="A26" s="507">
        <v>2002</v>
      </c>
      <c r="B26" s="339">
        <f>IF(ProjPays!I24="","",IF(ProjPays!I24="NA","","x"))</f>
      </c>
      <c r="C26" s="562">
        <f>IF(COUNT(ProjPays!I$2:I$26)&gt;0,EXP(ProjPays!$F$4*(ProjPays!H24-ProjPays!$F$2))/(1+EXP(ProjPays!$F$4*(ProjPays!H24-ProjPays!$F$2)))*(2*ProjPays!$F$3*EXP(-ProjPays!$F$6*(ProjPays!H24-ProjPays!$F$2))/(1+EXP(-ProjPays!$F$6*(ProjPays!H24-ProjPays!$F$2)))+ProjPays!$F$5),"")</f>
      </c>
      <c r="D26" s="341">
        <f>IF(B26&lt;&gt;"",(ProjPays!I24-C26)^2,"")</f>
      </c>
      <c r="E26" s="339">
        <f>IF(ProjRemaining!I24="","",IF(ProjRemaining!I24="NA","","x"))</f>
      </c>
      <c r="F26" s="562">
        <f>IF(COUNT(ProjRemaining!I$2:I$26)&gt;0,EXP(ProjRemaining!$F$4*(ProjRemaining!H24-ProjRemaining!$F$2))/(1+EXP(ProjRemaining!$F$4*(ProjRemaining!H24-ProjRemaining!$F$2)))*(2*ProjRemaining!$F$3*EXP(-ProjRemaining!$F$6*(ProjRemaining!H24-ProjRemaining!$F$2))/(1+EXP(-ProjRemaining!$F$6*(ProjRemaining!H24-ProjRemaining!$F$2)))+ProjRemaining!$F$5),"")</f>
      </c>
      <c r="G26" s="341">
        <f>IF(E26&lt;&gt;"",(ProjRemaining!I24-F26)^2,"")</f>
      </c>
      <c r="H26" s="339">
        <f>IF(Proj1!I24="","",IF(Proj1!I24="NA","","x"))</f>
      </c>
      <c r="I26" s="562">
        <f>IF(COUNT(Proj1!I$2:I$26)&gt;0,EXP(Proj1!$F$4*(Proj1!H24-Proj1!$F$2))/(1+EXP(Proj1!$F$4*(Proj1!H24-Proj1!$F$2)))*(2*Proj1!$F$3*EXP(-Proj1!$F$6*(Proj1!H24-Proj1!$F$2))/(1+EXP(-Proj1!$F$6*(Proj1!H24-Proj1!$F$2)))+Proj1!$F$5),"")</f>
      </c>
      <c r="J26" s="341">
        <f>IF(H26&lt;&gt;"",(Proj1!I24-I26)^2,"")</f>
      </c>
      <c r="K26" s="339">
        <f>IF(Proj2!I24="","",IF(Proj2!I24="NA","","x"))</f>
      </c>
      <c r="L26" s="562">
        <f>IF(COUNT(Proj2!I$2:I$26)&gt;0,EXP(Proj2!$F$4*(Proj2!H24-Proj2!$F$2))/(1+EXP(Proj2!$F$4*(Proj2!H24-Proj2!$F$2)))*(2*Proj2!$F$3*EXP(-Proj2!$F$6*(Proj2!H24-Proj2!$F$2))/(1+EXP(-Proj2!$F$6*(Proj2!H24-Proj2!$F$2)))+Proj2!$F$5),"")</f>
      </c>
      <c r="M26" s="341">
        <f>IF(K26&lt;&gt;"",(Proj2!I24-L26)^2,"")</f>
      </c>
      <c r="N26" s="339">
        <f>IF(Proj3!I24="","",IF(Proj3!I24="NA","","x"))</f>
      </c>
      <c r="O26" s="562">
        <f>IF(COUNT(Proj3!I$2:I$26)&gt;0,EXP(Proj3!$F$4*(Proj3!H24-Proj3!$F$2))/(1+EXP(Proj3!$F$4*(Proj3!H24-Proj3!$F$2)))*(2*Proj3!$F$3*EXP(-Proj3!$F$6*(Proj3!H24-Proj3!$F$2))/(1+EXP(-Proj3!$F$6*(Proj3!H24-Proj3!$F$2)))+Proj3!$F$5),"")</f>
      </c>
      <c r="P26" s="341">
        <f>IF(N26&lt;&gt;"",(Proj3!I24-O26)^2,"")</f>
      </c>
      <c r="Q26" s="339">
        <f>IF(Proj4!I24="","",IF(Proj4!I24="NA","","x"))</f>
      </c>
      <c r="R26" s="562">
        <f>IF(COUNT(Proj4!I$2:I$26)&gt;0,EXP(Proj4!$F$4*(Proj4!H24-Proj4!$F$2))/(1+EXP(Proj4!$F$4*(Proj4!H24-Proj4!$F$2)))*(2*Proj4!$F$3*EXP(-Proj4!$F$6*(Proj4!H24-Proj4!$F$2))/(1+EXP(-Proj4!$F$6*(Proj4!H24-Proj4!$F$2)))+Proj4!$F$5),"")</f>
      </c>
      <c r="S26" s="341">
        <f>IF(Q26&lt;&gt;"",(Proj4!I24-R26)^2,"")</f>
      </c>
      <c r="T26" s="339">
        <f>IF(Proj5!I24="","",IF(Proj5!I24="NA","","x"))</f>
      </c>
      <c r="U26" s="562">
        <f>IF(COUNT(Proj5!I$2:I$26)&gt;0,EXP(Proj5!$F$4*(Proj5!H24-Proj5!$F$2))/(1+EXP(Proj5!$F$4*(Proj5!H24-Proj5!$F$2)))*(2*Proj5!$F$3*EXP(-Proj5!$F$6*(Proj5!H24-Proj5!$F$2))/(1+EXP(-Proj5!$F$6*(Proj5!H24-Proj5!$F$2)))+Proj5!$F$5),"")</f>
      </c>
      <c r="V26" s="341">
        <f>IF(T26&lt;&gt;"",(Proj5!I24-U26)^2,"")</f>
      </c>
      <c r="W26" s="339">
        <f>IF(Proj6!I24="","",IF(Proj6!I24="NA","","x"))</f>
      </c>
      <c r="X26" s="562">
        <f>IF(COUNT(Proj6!I$2:I$26)&gt;0,EXP(Proj6!$F$4*(Proj6!H24-Proj6!$F$2))/(1+EXP(Proj6!$F$4*(Proj6!H24-Proj6!$F$2)))*(2*Proj6!$F$3*EXP(-Proj6!$F$6*(Proj6!H24-Proj6!$F$2))/(1+EXP(-Proj6!$F$6*(Proj6!H24-Proj6!$F$2)))+Proj6!$F$5),"")</f>
      </c>
      <c r="Y26" s="341">
        <f>IF(W26&lt;&gt;"",(Proj6!I24-X26)^2,"")</f>
      </c>
      <c r="Z26" s="339">
        <f>IF(Proj7!I24="","",IF(Proj7!I24="NA","","x"))</f>
      </c>
      <c r="AA26" s="562">
        <f>IF(COUNT(Proj7!I$2:I$26)&gt;0,EXP(Proj7!$F$4*(Proj7!H24-Proj7!$F$2))/(1+EXP(Proj7!$F$4*(Proj7!H24-Proj7!$F$2)))*(2*Proj7!$F$3*EXP(-Proj7!$F$6*(Proj7!H24-Proj7!$F$2))/(1+EXP(-Proj7!$F$6*(Proj7!H24-Proj7!$F$2)))+Proj7!$F$5),"")</f>
      </c>
      <c r="AB26" s="341">
        <f>IF(Z26&lt;&gt;"",(Proj7!I24-AA26)^2,"")</f>
      </c>
      <c r="AC26" s="339">
        <f>IF(Proj8!I24="","",IF(Proj8!I24="NA","","x"))</f>
      </c>
      <c r="AD26" s="562">
        <f>IF(COUNT(Proj8!I$2:I$26)&gt;0,EXP(Proj8!$F$4*(Proj8!H24-Proj8!$F$2))/(1+EXP(Proj8!$F$4*(Proj8!H24-Proj8!$F$2)))*(2*Proj8!$F$3*EXP(-Proj8!$F$6*(Proj8!H24-Proj8!$F$2))/(1+EXP(-Proj8!$F$6*(Proj8!H24-Proj8!$F$2)))+Proj8!$F$5),"")</f>
      </c>
      <c r="AE26" s="341">
        <f>IF(AC26&lt;&gt;"",(Proj8!I24-AD26)^2,"")</f>
      </c>
      <c r="AF26" s="339">
        <f>IF(Proj9!I24="","",IF(Proj9!I24="NA","","x"))</f>
      </c>
      <c r="AG26" s="562">
        <f>IF(COUNT(Proj9!I$2:I$26)&gt;0,EXP(Proj9!$F$4*(Proj9!H24-Proj9!$F$2))/(1+EXP(Proj9!$F$4*(Proj9!H24-Proj9!$F$2)))*(2*Proj9!$F$3*EXP(-Proj9!$F$6*(Proj9!H24-Proj9!$F$2))/(1+EXP(-Proj9!$F$6*(Proj9!H24-Proj9!$F$2)))+Proj9!$F$5),"")</f>
      </c>
      <c r="AH26" s="341">
        <f>IF(AF26&lt;&gt;"",(Proj9!I24-AG26)^2,"")</f>
      </c>
      <c r="AI26" s="339">
        <f>IF(Proj10!I24="","",IF(Proj10!I24="NA","","x"))</f>
      </c>
      <c r="AJ26" s="562">
        <f>IF(COUNT(Proj10!I$2:I$26)&gt;0,EXP(Proj10!$F$4*(Proj10!H24-Proj10!$F$2))/(1+EXP(Proj10!$F$4*(Proj10!H24-Proj10!$F$2)))*(2*Proj10!$F$3*EXP(-Proj10!$F$6*(Proj10!H24-Proj10!$F$2))/(1+EXP(-Proj10!$F$6*(Proj10!H24-Proj10!$F$2)))+Proj10!$F$5),"")</f>
      </c>
      <c r="AK26" s="341">
        <f>IF(AI26&lt;&gt;"",(Proj10!I24-AJ26)^2,"")</f>
      </c>
    </row>
    <row r="27" spans="1:37" s="342" customFormat="1" ht="12.75">
      <c r="A27" s="507">
        <v>2003</v>
      </c>
      <c r="B27" s="339">
        <f>IF(ProjPays!I25="","",IF(ProjPays!I25="NA","","x"))</f>
      </c>
      <c r="C27" s="562">
        <f>IF(COUNT(ProjPays!I$2:I$26)&gt;0,EXP(ProjPays!$F$4*(ProjPays!H25-ProjPays!$F$2))/(1+EXP(ProjPays!$F$4*(ProjPays!H25-ProjPays!$F$2)))*(2*ProjPays!$F$3*EXP(-ProjPays!$F$6*(ProjPays!H25-ProjPays!$F$2))/(1+EXP(-ProjPays!$F$6*(ProjPays!H25-ProjPays!$F$2)))+ProjPays!$F$5),"")</f>
      </c>
      <c r="D27" s="341">
        <f>IF(B27&lt;&gt;"",(ProjPays!I25-C27)^2,"")</f>
      </c>
      <c r="E27" s="339">
        <f>IF(ProjRemaining!I25="","",IF(ProjRemaining!I25="NA","","x"))</f>
      </c>
      <c r="F27" s="562">
        <f>IF(COUNT(ProjRemaining!I$2:I$26)&gt;0,EXP(ProjRemaining!$F$4*(ProjRemaining!H25-ProjRemaining!$F$2))/(1+EXP(ProjRemaining!$F$4*(ProjRemaining!H25-ProjRemaining!$F$2)))*(2*ProjRemaining!$F$3*EXP(-ProjRemaining!$F$6*(ProjRemaining!H25-ProjRemaining!$F$2))/(1+EXP(-ProjRemaining!$F$6*(ProjRemaining!H25-ProjRemaining!$F$2)))+ProjRemaining!$F$5),"")</f>
      </c>
      <c r="G27" s="341">
        <f>IF(E27&lt;&gt;"",(ProjRemaining!I25-F27)^2,"")</f>
      </c>
      <c r="H27" s="339">
        <f>IF(Proj1!I25="","",IF(Proj1!I25="NA","","x"))</f>
      </c>
      <c r="I27" s="562">
        <f>IF(COUNT(Proj1!I$2:I$26)&gt;0,EXP(Proj1!$F$4*(Proj1!H25-Proj1!$F$2))/(1+EXP(Proj1!$F$4*(Proj1!H25-Proj1!$F$2)))*(2*Proj1!$F$3*EXP(-Proj1!$F$6*(Proj1!H25-Proj1!$F$2))/(1+EXP(-Proj1!$F$6*(Proj1!H25-Proj1!$F$2)))+Proj1!$F$5),"")</f>
      </c>
      <c r="J27" s="341">
        <f>IF(H27&lt;&gt;"",(Proj1!I25-I27)^2,"")</f>
      </c>
      <c r="K27" s="339">
        <f>IF(Proj2!I25="","",IF(Proj2!I25="NA","","x"))</f>
      </c>
      <c r="L27" s="562">
        <f>IF(COUNT(Proj2!I$2:I$26)&gt;0,EXP(Proj2!$F$4*(Proj2!H25-Proj2!$F$2))/(1+EXP(Proj2!$F$4*(Proj2!H25-Proj2!$F$2)))*(2*Proj2!$F$3*EXP(-Proj2!$F$6*(Proj2!H25-Proj2!$F$2))/(1+EXP(-Proj2!$F$6*(Proj2!H25-Proj2!$F$2)))+Proj2!$F$5),"")</f>
      </c>
      <c r="M27" s="341">
        <f>IF(K27&lt;&gt;"",(Proj2!I25-L27)^2,"")</f>
      </c>
      <c r="N27" s="339">
        <f>IF(Proj3!I25="","",IF(Proj3!I25="NA","","x"))</f>
      </c>
      <c r="O27" s="562">
        <f>IF(COUNT(Proj3!I$2:I$26)&gt;0,EXP(Proj3!$F$4*(Proj3!H25-Proj3!$F$2))/(1+EXP(Proj3!$F$4*(Proj3!H25-Proj3!$F$2)))*(2*Proj3!$F$3*EXP(-Proj3!$F$6*(Proj3!H25-Proj3!$F$2))/(1+EXP(-Proj3!$F$6*(Proj3!H25-Proj3!$F$2)))+Proj3!$F$5),"")</f>
      </c>
      <c r="P27" s="341">
        <f>IF(N27&lt;&gt;"",(Proj3!I25-O27)^2,"")</f>
      </c>
      <c r="Q27" s="339">
        <f>IF(Proj4!I25="","",IF(Proj4!I25="NA","","x"))</f>
      </c>
      <c r="R27" s="562">
        <f>IF(COUNT(Proj4!I$2:I$26)&gt;0,EXP(Proj4!$F$4*(Proj4!H25-Proj4!$F$2))/(1+EXP(Proj4!$F$4*(Proj4!H25-Proj4!$F$2)))*(2*Proj4!$F$3*EXP(-Proj4!$F$6*(Proj4!H25-Proj4!$F$2))/(1+EXP(-Proj4!$F$6*(Proj4!H25-Proj4!$F$2)))+Proj4!$F$5),"")</f>
      </c>
      <c r="S27" s="341">
        <f>IF(Q27&lt;&gt;"",(Proj4!I25-R27)^2,"")</f>
      </c>
      <c r="T27" s="339">
        <f>IF(Proj5!I25="","",IF(Proj5!I25="NA","","x"))</f>
      </c>
      <c r="U27" s="562">
        <f>IF(COUNT(Proj5!I$2:I$26)&gt;0,EXP(Proj5!$F$4*(Proj5!H25-Proj5!$F$2))/(1+EXP(Proj5!$F$4*(Proj5!H25-Proj5!$F$2)))*(2*Proj5!$F$3*EXP(-Proj5!$F$6*(Proj5!H25-Proj5!$F$2))/(1+EXP(-Proj5!$F$6*(Proj5!H25-Proj5!$F$2)))+Proj5!$F$5),"")</f>
      </c>
      <c r="V27" s="341">
        <f>IF(T27&lt;&gt;"",(Proj5!I25-U27)^2,"")</f>
      </c>
      <c r="W27" s="339">
        <f>IF(Proj6!I25="","",IF(Proj6!I25="NA","","x"))</f>
      </c>
      <c r="X27" s="562">
        <f>IF(COUNT(Proj6!I$2:I$26)&gt;0,EXP(Proj6!$F$4*(Proj6!H25-Proj6!$F$2))/(1+EXP(Proj6!$F$4*(Proj6!H25-Proj6!$F$2)))*(2*Proj6!$F$3*EXP(-Proj6!$F$6*(Proj6!H25-Proj6!$F$2))/(1+EXP(-Proj6!$F$6*(Proj6!H25-Proj6!$F$2)))+Proj6!$F$5),"")</f>
      </c>
      <c r="Y27" s="341">
        <f>IF(W27&lt;&gt;"",(Proj6!I25-X27)^2,"")</f>
      </c>
      <c r="Z27" s="339">
        <f>IF(Proj7!I25="","",IF(Proj7!I25="NA","","x"))</f>
      </c>
      <c r="AA27" s="562">
        <f>IF(COUNT(Proj7!I$2:I$26)&gt;0,EXP(Proj7!$F$4*(Proj7!H25-Proj7!$F$2))/(1+EXP(Proj7!$F$4*(Proj7!H25-Proj7!$F$2)))*(2*Proj7!$F$3*EXP(-Proj7!$F$6*(Proj7!H25-Proj7!$F$2))/(1+EXP(-Proj7!$F$6*(Proj7!H25-Proj7!$F$2)))+Proj7!$F$5),"")</f>
      </c>
      <c r="AB27" s="341">
        <f>IF(Z27&lt;&gt;"",(Proj7!I25-AA27)^2,"")</f>
      </c>
      <c r="AC27" s="339">
        <f>IF(Proj8!I25="","",IF(Proj8!I25="NA","","x"))</f>
      </c>
      <c r="AD27" s="562">
        <f>IF(COUNT(Proj8!I$2:I$26)&gt;0,EXP(Proj8!$F$4*(Proj8!H25-Proj8!$F$2))/(1+EXP(Proj8!$F$4*(Proj8!H25-Proj8!$F$2)))*(2*Proj8!$F$3*EXP(-Proj8!$F$6*(Proj8!H25-Proj8!$F$2))/(1+EXP(-Proj8!$F$6*(Proj8!H25-Proj8!$F$2)))+Proj8!$F$5),"")</f>
      </c>
      <c r="AE27" s="341">
        <f>IF(AC27&lt;&gt;"",(Proj8!I25-AD27)^2,"")</f>
      </c>
      <c r="AF27" s="339">
        <f>IF(Proj9!I25="","",IF(Proj9!I25="NA","","x"))</f>
      </c>
      <c r="AG27" s="562">
        <f>IF(COUNT(Proj9!I$2:I$26)&gt;0,EXP(Proj9!$F$4*(Proj9!H25-Proj9!$F$2))/(1+EXP(Proj9!$F$4*(Proj9!H25-Proj9!$F$2)))*(2*Proj9!$F$3*EXP(-Proj9!$F$6*(Proj9!H25-Proj9!$F$2))/(1+EXP(-Proj9!$F$6*(Proj9!H25-Proj9!$F$2)))+Proj9!$F$5),"")</f>
      </c>
      <c r="AH27" s="341">
        <f>IF(AF27&lt;&gt;"",(Proj9!I25-AG27)^2,"")</f>
      </c>
      <c r="AI27" s="339">
        <f>IF(Proj10!I25="","",IF(Proj10!I25="NA","","x"))</f>
      </c>
      <c r="AJ27" s="562">
        <f>IF(COUNT(Proj10!I$2:I$26)&gt;0,EXP(Proj10!$F$4*(Proj10!H25-Proj10!$F$2))/(1+EXP(Proj10!$F$4*(Proj10!H25-Proj10!$F$2)))*(2*Proj10!$F$3*EXP(-Proj10!$F$6*(Proj10!H25-Proj10!$F$2))/(1+EXP(-Proj10!$F$6*(Proj10!H25-Proj10!$F$2)))+Proj10!$F$5),"")</f>
      </c>
      <c r="AK27" s="341">
        <f>IF(AI27&lt;&gt;"",(Proj10!I25-AJ27)^2,"")</f>
      </c>
    </row>
    <row r="28" spans="1:37" s="342" customFormat="1" ht="12.75">
      <c r="A28" s="507">
        <v>2004</v>
      </c>
      <c r="B28" s="339">
        <f>IF(ProjPays!I26="","",IF(ProjPays!I26="NA","","x"))</f>
      </c>
      <c r="C28" s="562">
        <f>IF(COUNT(ProjPays!I$2:I$26)&gt;0,EXP(ProjPays!$F$4*(ProjPays!H26-ProjPays!$F$2))/(1+EXP(ProjPays!$F$4*(ProjPays!H26-ProjPays!$F$2)))*(2*ProjPays!$F$3*EXP(-ProjPays!$F$6*(ProjPays!H26-ProjPays!$F$2))/(1+EXP(-ProjPays!$F$6*(ProjPays!H26-ProjPays!$F$2)))+ProjPays!$F$5),"")</f>
      </c>
      <c r="D28" s="341">
        <f>IF(B28&lt;&gt;"",(ProjPays!I26-C28)^2,"")</f>
      </c>
      <c r="E28" s="339">
        <f>IF(ProjRemaining!I26="","",IF(ProjRemaining!I26="NA","","x"))</f>
      </c>
      <c r="F28" s="562">
        <f>IF(COUNT(ProjRemaining!I$2:I$26)&gt;0,EXP(ProjRemaining!$F$4*(ProjRemaining!H26-ProjRemaining!$F$2))/(1+EXP(ProjRemaining!$F$4*(ProjRemaining!H26-ProjRemaining!$F$2)))*(2*ProjRemaining!$F$3*EXP(-ProjRemaining!$F$6*(ProjRemaining!H26-ProjRemaining!$F$2))/(1+EXP(-ProjRemaining!$F$6*(ProjRemaining!H26-ProjRemaining!$F$2)))+ProjRemaining!$F$5),"")</f>
      </c>
      <c r="G28" s="341">
        <f>IF(E28&lt;&gt;"",(ProjRemaining!I26-F28)^2,"")</f>
      </c>
      <c r="H28" s="339">
        <f>IF(Proj1!I26="","",IF(Proj1!I26="NA","","x"))</f>
      </c>
      <c r="I28" s="562">
        <f>IF(COUNT(Proj1!I$2:I$26)&gt;0,EXP(Proj1!$F$4*(Proj1!H26-Proj1!$F$2))/(1+EXP(Proj1!$F$4*(Proj1!H26-Proj1!$F$2)))*(2*Proj1!$F$3*EXP(-Proj1!$F$6*(Proj1!H26-Proj1!$F$2))/(1+EXP(-Proj1!$F$6*(Proj1!H26-Proj1!$F$2)))+Proj1!$F$5),"")</f>
      </c>
      <c r="J28" s="341">
        <f>IF(H28&lt;&gt;"",(Proj1!I26-I28)^2,"")</f>
      </c>
      <c r="K28" s="339">
        <f>IF(Proj2!I26="","",IF(Proj2!I26="NA","","x"))</f>
      </c>
      <c r="L28" s="562">
        <f>IF(COUNT(Proj2!I$2:I$26)&gt;0,EXP(Proj2!$F$4*(Proj2!H26-Proj2!$F$2))/(1+EXP(Proj2!$F$4*(Proj2!H26-Proj2!$F$2)))*(2*Proj2!$F$3*EXP(-Proj2!$F$6*(Proj2!H26-Proj2!$F$2))/(1+EXP(-Proj2!$F$6*(Proj2!H26-Proj2!$F$2)))+Proj2!$F$5),"")</f>
      </c>
      <c r="M28" s="341">
        <f>IF(K28&lt;&gt;"",(Proj2!I26-L28)^2,"")</f>
      </c>
      <c r="N28" s="339">
        <f>IF(Proj3!I26="","",IF(Proj3!I26="NA","","x"))</f>
      </c>
      <c r="O28" s="562">
        <f>IF(COUNT(Proj3!I$2:I$26)&gt;0,EXP(Proj3!$F$4*(Proj3!H26-Proj3!$F$2))/(1+EXP(Proj3!$F$4*(Proj3!H26-Proj3!$F$2)))*(2*Proj3!$F$3*EXP(-Proj3!$F$6*(Proj3!H26-Proj3!$F$2))/(1+EXP(-Proj3!$F$6*(Proj3!H26-Proj3!$F$2)))+Proj3!$F$5),"")</f>
      </c>
      <c r="P28" s="341">
        <f>IF(N28&lt;&gt;"",(Proj3!I26-O28)^2,"")</f>
      </c>
      <c r="Q28" s="339">
        <f>IF(Proj4!I26="","",IF(Proj4!I26="NA","","x"))</f>
      </c>
      <c r="R28" s="562">
        <f>IF(COUNT(Proj4!I$2:I$26)&gt;0,EXP(Proj4!$F$4*(Proj4!H26-Proj4!$F$2))/(1+EXP(Proj4!$F$4*(Proj4!H26-Proj4!$F$2)))*(2*Proj4!$F$3*EXP(-Proj4!$F$6*(Proj4!H26-Proj4!$F$2))/(1+EXP(-Proj4!$F$6*(Proj4!H26-Proj4!$F$2)))+Proj4!$F$5),"")</f>
      </c>
      <c r="S28" s="341">
        <f>IF(Q28&lt;&gt;"",(Proj4!I26-R28)^2,"")</f>
      </c>
      <c r="T28" s="339">
        <f>IF(Proj5!I26="","",IF(Proj5!I26="NA","","x"))</f>
      </c>
      <c r="U28" s="562">
        <f>IF(COUNT(Proj5!I$2:I$26)&gt;0,EXP(Proj5!$F$4*(Proj5!H26-Proj5!$F$2))/(1+EXP(Proj5!$F$4*(Proj5!H26-Proj5!$F$2)))*(2*Proj5!$F$3*EXP(-Proj5!$F$6*(Proj5!H26-Proj5!$F$2))/(1+EXP(-Proj5!$F$6*(Proj5!H26-Proj5!$F$2)))+Proj5!$F$5),"")</f>
      </c>
      <c r="V28" s="341">
        <f>IF(T28&lt;&gt;"",(Proj5!I26-U28)^2,"")</f>
      </c>
      <c r="W28" s="339">
        <f>IF(Proj6!I26="","",IF(Proj6!I26="NA","","x"))</f>
      </c>
      <c r="X28" s="562">
        <f>IF(COUNT(Proj6!I$2:I$26)&gt;0,EXP(Proj6!$F$4*(Proj6!H26-Proj6!$F$2))/(1+EXP(Proj6!$F$4*(Proj6!H26-Proj6!$F$2)))*(2*Proj6!$F$3*EXP(-Proj6!$F$6*(Proj6!H26-Proj6!$F$2))/(1+EXP(-Proj6!$F$6*(Proj6!H26-Proj6!$F$2)))+Proj6!$F$5),"")</f>
      </c>
      <c r="Y28" s="341">
        <f>IF(W28&lt;&gt;"",(Proj6!I26-X28)^2,"")</f>
      </c>
      <c r="Z28" s="339">
        <f>IF(Proj7!I26="","",IF(Proj7!I26="NA","","x"))</f>
      </c>
      <c r="AA28" s="562">
        <f>IF(COUNT(Proj7!I$2:I$26)&gt;0,EXP(Proj7!$F$4*(Proj7!H26-Proj7!$F$2))/(1+EXP(Proj7!$F$4*(Proj7!H26-Proj7!$F$2)))*(2*Proj7!$F$3*EXP(-Proj7!$F$6*(Proj7!H26-Proj7!$F$2))/(1+EXP(-Proj7!$F$6*(Proj7!H26-Proj7!$F$2)))+Proj7!$F$5),"")</f>
      </c>
      <c r="AB28" s="341">
        <f>IF(Z28&lt;&gt;"",(Proj7!I26-AA28)^2,"")</f>
      </c>
      <c r="AC28" s="339">
        <f>IF(Proj8!I26="","",IF(Proj8!I26="NA","","x"))</f>
      </c>
      <c r="AD28" s="562">
        <f>IF(COUNT(Proj8!I$2:I$26)&gt;0,EXP(Proj8!$F$4*(Proj8!H26-Proj8!$F$2))/(1+EXP(Proj8!$F$4*(Proj8!H26-Proj8!$F$2)))*(2*Proj8!$F$3*EXP(-Proj8!$F$6*(Proj8!H26-Proj8!$F$2))/(1+EXP(-Proj8!$F$6*(Proj8!H26-Proj8!$F$2)))+Proj8!$F$5),"")</f>
      </c>
      <c r="AE28" s="341">
        <f>IF(AC28&lt;&gt;"",(Proj8!I26-AD28)^2,"")</f>
      </c>
      <c r="AF28" s="339">
        <f>IF(Proj9!I26="","",IF(Proj9!I26="NA","","x"))</f>
      </c>
      <c r="AG28" s="562">
        <f>IF(COUNT(Proj9!I$2:I$26)&gt;0,EXP(Proj9!$F$4*(Proj9!H26-Proj9!$F$2))/(1+EXP(Proj9!$F$4*(Proj9!H26-Proj9!$F$2)))*(2*Proj9!$F$3*EXP(-Proj9!$F$6*(Proj9!H26-Proj9!$F$2))/(1+EXP(-Proj9!$F$6*(Proj9!H26-Proj9!$F$2)))+Proj9!$F$5),"")</f>
      </c>
      <c r="AH28" s="341">
        <f>IF(AF28&lt;&gt;"",(Proj9!I26-AG28)^2,"")</f>
      </c>
      <c r="AI28" s="339">
        <f>IF(Proj10!I26="","",IF(Proj10!I26="NA","","x"))</f>
      </c>
      <c r="AJ28" s="562">
        <f>IF(COUNT(Proj10!I$2:I$26)&gt;0,EXP(Proj10!$F$4*(Proj10!H26-Proj10!$F$2))/(1+EXP(Proj10!$F$4*(Proj10!H26-Proj10!$F$2)))*(2*Proj10!$F$3*EXP(-Proj10!$F$6*(Proj10!H26-Proj10!$F$2))/(1+EXP(-Proj10!$F$6*(Proj10!H26-Proj10!$F$2)))+Proj10!$F$5),"")</f>
      </c>
      <c r="AK28" s="341">
        <f>IF(AI28&lt;&gt;"",(Proj10!I26-AJ28)^2,"")</f>
      </c>
    </row>
    <row r="29" spans="1:37" s="342" customFormat="1" ht="12.75">
      <c r="A29" s="508">
        <v>2005</v>
      </c>
      <c r="B29" s="339">
        <f>IF(ProjPays!I27="","",IF(ProjPays!I27="NA","","x"))</f>
      </c>
      <c r="C29" s="563">
        <f>IF(COUNT(ProjPays!I$2:I$26)&gt;0,EXP(ProjPays!$F$4*(ProjPays!H27-ProjPays!$F$2))/(1+EXP(ProjPays!$F$4*(ProjPays!H27-ProjPays!$F$2)))*(2*ProjPays!$F$3*EXP(-ProjPays!$F$6*(ProjPays!H27-ProjPays!$F$2))/(1+EXP(-ProjPays!$F$6*(ProjPays!H27-ProjPays!$F$2)))+ProjPays!$F$5),"")</f>
      </c>
      <c r="D29" s="341">
        <f>IF(B29&lt;&gt;"",(ProjPays!I27-C29)^2,"")</f>
      </c>
      <c r="E29" s="339">
        <f>IF(ProjRemaining!I27="","",IF(ProjRemaining!I27="NA","","x"))</f>
      </c>
      <c r="F29" s="563">
        <f>IF(COUNT(ProjRemaining!I$2:I$26)&gt;0,EXP(ProjRemaining!$F$4*(ProjRemaining!H27-ProjRemaining!$F$2))/(1+EXP(ProjRemaining!$F$4*(ProjRemaining!H27-ProjRemaining!$F$2)))*(2*ProjRemaining!$F$3*EXP(-ProjRemaining!$F$6*(ProjRemaining!H27-ProjRemaining!$F$2))/(1+EXP(-ProjRemaining!$F$6*(ProjRemaining!H27-ProjRemaining!$F$2)))+ProjRemaining!$F$5),"")</f>
      </c>
      <c r="G29" s="341">
        <f>IF(E29&lt;&gt;"",(ProjRemaining!I27-F29)^2,"")</f>
      </c>
      <c r="H29" s="339">
        <f>IF(Proj1!I27="","",IF(Proj1!I27="NA","","x"))</f>
      </c>
      <c r="I29" s="563">
        <f>IF(COUNT(Proj1!I$2:I$26)&gt;0,EXP(Proj1!$F$4*(Proj1!H27-Proj1!$F$2))/(1+EXP(Proj1!$F$4*(Proj1!H27-Proj1!$F$2)))*(2*Proj1!$F$3*EXP(-Proj1!$F$6*(Proj1!H27-Proj1!$F$2))/(1+EXP(-Proj1!$F$6*(Proj1!H27-Proj1!$F$2)))+Proj1!$F$5),"")</f>
      </c>
      <c r="J29" s="341">
        <f>IF(H29&lt;&gt;"",(Proj1!I27-I29)^2,"")</f>
      </c>
      <c r="K29" s="339">
        <f>IF(Proj2!I27="","",IF(Proj2!I27="NA","","x"))</f>
      </c>
      <c r="L29" s="563">
        <f>IF(COUNT(Proj2!I$2:I$26)&gt;0,EXP(Proj2!$F$4*(Proj2!H27-Proj2!$F$2))/(1+EXP(Proj2!$F$4*(Proj2!H27-Proj2!$F$2)))*(2*Proj2!$F$3*EXP(-Proj2!$F$6*(Proj2!H27-Proj2!$F$2))/(1+EXP(-Proj2!$F$6*(Proj2!H27-Proj2!$F$2)))+Proj2!$F$5),"")</f>
      </c>
      <c r="M29" s="341">
        <f>IF(K29&lt;&gt;"",(Proj2!I27-L29)^2,"")</f>
      </c>
      <c r="N29" s="339">
        <f>IF(Proj3!I27="","",IF(Proj3!I27="NA","","x"))</f>
      </c>
      <c r="O29" s="563">
        <f>IF(COUNT(Proj3!I$2:I$26)&gt;0,EXP(Proj3!$F$4*(Proj3!H27-Proj3!$F$2))/(1+EXP(Proj3!$F$4*(Proj3!H27-Proj3!$F$2)))*(2*Proj3!$F$3*EXP(-Proj3!$F$6*(Proj3!H27-Proj3!$F$2))/(1+EXP(-Proj3!$F$6*(Proj3!H27-Proj3!$F$2)))+Proj3!$F$5),"")</f>
      </c>
      <c r="P29" s="341">
        <f>IF(N29&lt;&gt;"",(Proj3!I27-O29)^2,"")</f>
      </c>
      <c r="Q29" s="339">
        <f>IF(Proj4!I27="","",IF(Proj4!I27="NA","","x"))</f>
      </c>
      <c r="R29" s="563">
        <f>IF(COUNT(Proj4!I$2:I$26)&gt;0,EXP(Proj4!$F$4*(Proj4!H27-Proj4!$F$2))/(1+EXP(Proj4!$F$4*(Proj4!H27-Proj4!$F$2)))*(2*Proj4!$F$3*EXP(-Proj4!$F$6*(Proj4!H27-Proj4!$F$2))/(1+EXP(-Proj4!$F$6*(Proj4!H27-Proj4!$F$2)))+Proj4!$F$5),"")</f>
      </c>
      <c r="S29" s="341">
        <f>IF(Q29&lt;&gt;"",(Proj4!I27-R29)^2,"")</f>
      </c>
      <c r="T29" s="339">
        <f>IF(Proj5!I27="","",IF(Proj5!I27="NA","","x"))</f>
      </c>
      <c r="U29" s="563">
        <f>IF(COUNT(Proj5!I$2:I$26)&gt;0,EXP(Proj5!$F$4*(Proj5!H27-Proj5!$F$2))/(1+EXP(Proj5!$F$4*(Proj5!H27-Proj5!$F$2)))*(2*Proj5!$F$3*EXP(-Proj5!$F$6*(Proj5!H27-Proj5!$F$2))/(1+EXP(-Proj5!$F$6*(Proj5!H27-Proj5!$F$2)))+Proj5!$F$5),"")</f>
      </c>
      <c r="V29" s="341">
        <f>IF(T29&lt;&gt;"",(Proj5!I27-U29)^2,"")</f>
      </c>
      <c r="W29" s="339">
        <f>IF(Proj6!I27="","",IF(Proj6!I27="NA","","x"))</f>
      </c>
      <c r="X29" s="563">
        <f>IF(COUNT(Proj6!I$2:I$26)&gt;0,EXP(Proj6!$F$4*(Proj6!H27-Proj6!$F$2))/(1+EXP(Proj6!$F$4*(Proj6!H27-Proj6!$F$2)))*(2*Proj6!$F$3*EXP(-Proj6!$F$6*(Proj6!H27-Proj6!$F$2))/(1+EXP(-Proj6!$F$6*(Proj6!H27-Proj6!$F$2)))+Proj6!$F$5),"")</f>
      </c>
      <c r="Y29" s="341">
        <f>IF(W29&lt;&gt;"",(Proj6!I27-X29)^2,"")</f>
      </c>
      <c r="Z29" s="339">
        <f>IF(Proj7!I27="","",IF(Proj7!I27="NA","","x"))</f>
      </c>
      <c r="AA29" s="563">
        <f>IF(COUNT(Proj7!I$2:I$26)&gt;0,EXP(Proj7!$F$4*(Proj7!H27-Proj7!$F$2))/(1+EXP(Proj7!$F$4*(Proj7!H27-Proj7!$F$2)))*(2*Proj7!$F$3*EXP(-Proj7!$F$6*(Proj7!H27-Proj7!$F$2))/(1+EXP(-Proj7!$F$6*(Proj7!H27-Proj7!$F$2)))+Proj7!$F$5),"")</f>
      </c>
      <c r="AB29" s="341">
        <f>IF(Z29&lt;&gt;"",(Proj7!I27-AA29)^2,"")</f>
      </c>
      <c r="AC29" s="339">
        <f>IF(Proj8!I27="","",IF(Proj8!I27="NA","","x"))</f>
      </c>
      <c r="AD29" s="563">
        <f>IF(COUNT(Proj8!I$2:I$26)&gt;0,EXP(Proj8!$F$4*(Proj8!H27-Proj8!$F$2))/(1+EXP(Proj8!$F$4*(Proj8!H27-Proj8!$F$2)))*(2*Proj8!$F$3*EXP(-Proj8!$F$6*(Proj8!H27-Proj8!$F$2))/(1+EXP(-Proj8!$F$6*(Proj8!H27-Proj8!$F$2)))+Proj8!$F$5),"")</f>
      </c>
      <c r="AE29" s="341">
        <f>IF(AC29&lt;&gt;"",(Proj8!I27-AD29)^2,"")</f>
      </c>
      <c r="AF29" s="339">
        <f>IF(Proj9!I27="","",IF(Proj9!I27="NA","","x"))</f>
      </c>
      <c r="AG29" s="563">
        <f>IF(COUNT(Proj9!I$2:I$26)&gt;0,EXP(Proj9!$F$4*(Proj9!H27-Proj9!$F$2))/(1+EXP(Proj9!$F$4*(Proj9!H27-Proj9!$F$2)))*(2*Proj9!$F$3*EXP(-Proj9!$F$6*(Proj9!H27-Proj9!$F$2))/(1+EXP(-Proj9!$F$6*(Proj9!H27-Proj9!$F$2)))+Proj9!$F$5),"")</f>
      </c>
      <c r="AH29" s="341">
        <f>IF(AF29&lt;&gt;"",(Proj9!I27-AG29)^2,"")</f>
      </c>
      <c r="AI29" s="339">
        <f>IF(Proj10!I27="","",IF(Proj10!I27="NA","","x"))</f>
      </c>
      <c r="AJ29" s="563">
        <f>IF(COUNT(Proj10!I$2:I$26)&gt;0,EXP(Proj10!$F$4*(Proj10!H27-Proj10!$F$2))/(1+EXP(Proj10!$F$4*(Proj10!H27-Proj10!$F$2)))*(2*Proj10!$F$3*EXP(-Proj10!$F$6*(Proj10!H27-Proj10!$F$2))/(1+EXP(-Proj10!$F$6*(Proj10!H27-Proj10!$F$2)))+Proj10!$F$5),"")</f>
      </c>
      <c r="AK29" s="341">
        <f>IF(AI29&lt;&gt;"",(Proj10!I27-AJ29)^2,"")</f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&amp;L&amp;F
&amp;D  &amp;T&amp;C&amp;A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1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3" sqref="Q23"/>
    </sheetView>
  </sheetViews>
  <sheetFormatPr defaultColWidth="9.140625" defaultRowHeight="12.75"/>
  <cols>
    <col min="1" max="1" width="35.57421875" style="33" customWidth="1"/>
    <col min="2" max="2" width="13.00390625" style="32" customWidth="1"/>
    <col min="3" max="3" width="11.57421875" style="32" customWidth="1"/>
    <col min="4" max="4" width="10.28125" style="32" customWidth="1"/>
    <col min="5" max="5" width="10.7109375" style="32" customWidth="1"/>
    <col min="6" max="7" width="9.140625" style="33" customWidth="1"/>
    <col min="8" max="9" width="9.00390625" style="33" customWidth="1"/>
    <col min="10" max="10" width="8.00390625" style="33" customWidth="1"/>
    <col min="11" max="11" width="8.421875" style="33" customWidth="1"/>
    <col min="12" max="12" width="8.28125" style="33" customWidth="1"/>
    <col min="13" max="13" width="9.28125" style="33" customWidth="1"/>
    <col min="14" max="14" width="10.57421875" style="33" hidden="1" customWidth="1"/>
    <col min="15" max="15" width="8.28125" style="33" hidden="1" customWidth="1"/>
    <col min="16" max="16" width="9.140625" style="33" customWidth="1"/>
    <col min="17" max="17" width="8.140625" style="34" customWidth="1"/>
    <col min="18" max="19" width="8.140625" style="33" customWidth="1"/>
    <col min="20" max="20" width="8.140625" style="18" customWidth="1"/>
    <col min="21" max="16384" width="9.140625" style="33" customWidth="1"/>
  </cols>
  <sheetData>
    <row r="1" spans="1:11" ht="15.75" customHeight="1">
      <c r="A1" s="206">
        <f>IF(Installation!C19&gt;0,Installation!B2,"")</f>
      </c>
      <c r="B1" s="205">
        <f>Installation!B19</f>
        <v>0</v>
      </c>
      <c r="C1" s="204"/>
      <c r="D1" s="135" t="str">
        <f>IF(E4="",IF(E5="","Choisir UNE méthode pour le calcul des populations à moindre rsique (PLR).",""),"")</f>
        <v>Choisir UNE méthode pour le calcul des populations à moindre rsique (PLR).</v>
      </c>
      <c r="E1" s="204"/>
      <c r="F1" s="163"/>
      <c r="G1" s="163"/>
      <c r="H1" s="163"/>
      <c r="I1" s="163"/>
      <c r="J1" s="163"/>
      <c r="K1" s="163"/>
    </row>
    <row r="2" spans="1:4" ht="12.75" customHeight="1">
      <c r="A2" s="158" t="s">
        <v>217</v>
      </c>
      <c r="B2" s="144">
        <f>Installation!C19</f>
        <v>0</v>
      </c>
      <c r="D2" s="452">
        <f>IF(E4&lt;&gt;"",IF(E5&lt;&gt;"","Choisir qu'UNE methode!",""),"")</f>
      </c>
    </row>
    <row r="3" spans="1:9" ht="13.5" customHeight="1">
      <c r="A3" s="159" t="s">
        <v>154</v>
      </c>
      <c r="B3" s="203" t="str">
        <f>Installation!E19</f>
        <v>0</v>
      </c>
      <c r="D3" s="98" t="s">
        <v>192</v>
      </c>
      <c r="E3" s="63"/>
      <c r="F3" s="99"/>
      <c r="G3" s="63"/>
      <c r="H3" s="64"/>
      <c r="I3" s="65"/>
    </row>
    <row r="4" spans="1:9" ht="13.5" customHeight="1">
      <c r="A4" s="158" t="s">
        <v>155</v>
      </c>
      <c r="B4" s="47">
        <f>B2*B3</f>
        <v>0</v>
      </c>
      <c r="D4" s="600" t="s">
        <v>218</v>
      </c>
      <c r="E4" s="100"/>
      <c r="F4" s="101" t="s">
        <v>193</v>
      </c>
      <c r="G4" s="70"/>
      <c r="H4" s="71"/>
      <c r="I4" s="70"/>
    </row>
    <row r="5" spans="1:9" ht="12.75" customHeight="1">
      <c r="A5" s="161" t="s">
        <v>79</v>
      </c>
      <c r="B5" s="201">
        <f>Installation!B3</f>
        <v>0</v>
      </c>
      <c r="D5" s="601"/>
      <c r="E5" s="102"/>
      <c r="F5" s="103" t="s">
        <v>194</v>
      </c>
      <c r="G5" s="72"/>
      <c r="H5" s="73"/>
      <c r="I5" s="72"/>
    </row>
    <row r="6" spans="1:17" s="18" customFormat="1" ht="10.5" customHeight="1">
      <c r="A6" s="25"/>
      <c r="B6" s="55"/>
      <c r="C6" s="17"/>
      <c r="D6" s="17"/>
      <c r="E6" s="17"/>
      <c r="Q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20" ht="22.5" customHeight="1">
      <c r="A8" s="600" t="s">
        <v>156</v>
      </c>
      <c r="B8" s="597" t="s">
        <v>170</v>
      </c>
      <c r="C8" s="599"/>
      <c r="D8" s="597" t="s">
        <v>171</v>
      </c>
      <c r="E8" s="599"/>
      <c r="F8" s="607" t="s">
        <v>185</v>
      </c>
      <c r="G8" s="608"/>
      <c r="H8" s="608"/>
      <c r="I8" s="609"/>
      <c r="J8" s="600" t="s">
        <v>199</v>
      </c>
      <c r="K8" s="597" t="s">
        <v>200</v>
      </c>
      <c r="L8" s="598"/>
      <c r="M8" s="599"/>
      <c r="P8" s="18"/>
      <c r="Q8" s="18"/>
      <c r="T8" s="33"/>
    </row>
    <row r="9" spans="1:20" ht="49.5" customHeight="1">
      <c r="A9" s="601"/>
      <c r="B9" s="16" t="s">
        <v>174</v>
      </c>
      <c r="C9" s="16" t="s">
        <v>175</v>
      </c>
      <c r="D9" s="16" t="s">
        <v>172</v>
      </c>
      <c r="E9" s="16" t="s">
        <v>173</v>
      </c>
      <c r="F9" s="16" t="s">
        <v>183</v>
      </c>
      <c r="G9" s="16" t="s">
        <v>195</v>
      </c>
      <c r="H9" s="16" t="s">
        <v>196</v>
      </c>
      <c r="I9" s="16" t="s">
        <v>197</v>
      </c>
      <c r="J9" s="601"/>
      <c r="K9" s="16" t="s">
        <v>203</v>
      </c>
      <c r="L9" s="16" t="s">
        <v>201</v>
      </c>
      <c r="M9" s="16" t="s">
        <v>202</v>
      </c>
      <c r="N9" s="33" t="s">
        <v>186</v>
      </c>
      <c r="O9" s="33" t="s">
        <v>187</v>
      </c>
      <c r="P9" s="18"/>
      <c r="Q9" s="18"/>
      <c r="T9" s="33"/>
    </row>
    <row r="10" spans="1:20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P10" s="18"/>
      <c r="Q10" s="18"/>
      <c r="T10" s="33"/>
    </row>
    <row r="11" spans="1:20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P11" s="18"/>
      <c r="Q11" s="18"/>
      <c r="T11" s="33"/>
    </row>
    <row r="12" spans="1:20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P12" s="18"/>
      <c r="Q12" s="18"/>
      <c r="T12" s="33"/>
    </row>
    <row r="13" spans="1:20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P13" s="18"/>
      <c r="Q13" s="18"/>
      <c r="T13" s="33"/>
    </row>
    <row r="14" spans="1:20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P14" s="18"/>
      <c r="Q14" s="18"/>
      <c r="T14" s="33"/>
    </row>
    <row r="15" spans="1:20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P15" s="18"/>
      <c r="Q15" s="18"/>
      <c r="T15" s="33"/>
    </row>
    <row r="16" spans="1:20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  <c r="P16" s="18"/>
      <c r="Q16" s="18"/>
      <c r="R16" s="18"/>
      <c r="T16" s="33"/>
    </row>
    <row r="17" spans="1:20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  <c r="P17" s="18"/>
      <c r="Q17" s="18"/>
      <c r="R17" s="18"/>
      <c r="T17" s="33"/>
    </row>
    <row r="18" spans="1:20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  <c r="P18" s="18"/>
      <c r="Q18" s="18"/>
      <c r="R18" s="18"/>
      <c r="T18" s="33"/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176</v>
      </c>
      <c r="C21" s="599"/>
      <c r="D21" s="597" t="s">
        <v>171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220</v>
      </c>
      <c r="L21" s="598"/>
      <c r="M21" s="599"/>
      <c r="U21" s="19"/>
    </row>
    <row r="22" spans="1:15" s="18" customFormat="1" ht="48.75" customHeight="1">
      <c r="A22" s="601"/>
      <c r="B22" s="16" t="s">
        <v>174</v>
      </c>
      <c r="C22" s="16" t="s">
        <v>178</v>
      </c>
      <c r="D22" s="16" t="s">
        <v>172</v>
      </c>
      <c r="E22" s="16" t="s">
        <v>173</v>
      </c>
      <c r="F22" s="16" t="s">
        <v>183</v>
      </c>
      <c r="G22" s="16" t="s">
        <v>198</v>
      </c>
      <c r="H22" s="16" t="s">
        <v>196</v>
      </c>
      <c r="I22" s="16" t="s">
        <v>197</v>
      </c>
      <c r="J22" s="601"/>
      <c r="K22" s="16" t="s">
        <v>203</v>
      </c>
      <c r="L22" s="16" t="s">
        <v>201</v>
      </c>
      <c r="M22" s="16" t="s">
        <v>202</v>
      </c>
      <c r="N22" s="33" t="s">
        <v>186</v>
      </c>
      <c r="O22" s="33" t="s">
        <v>187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20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P24" s="18"/>
      <c r="Q24" s="18"/>
      <c r="T24" s="33"/>
    </row>
    <row r="25" spans="1:20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P25" s="18"/>
      <c r="Q25" s="18"/>
      <c r="T25" s="33"/>
    </row>
    <row r="26" spans="1:20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P26" s="18"/>
      <c r="Q26" s="18"/>
      <c r="T26" s="33"/>
    </row>
    <row r="27" spans="1:20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P27" s="18"/>
      <c r="Q27" s="18"/>
      <c r="T27" s="33"/>
    </row>
    <row r="28" spans="1:20" ht="11.25" thickBot="1">
      <c r="A28" s="147" t="str">
        <f>Installation!C35</f>
        <v>Facultatif LR3</v>
      </c>
      <c r="B28" s="49"/>
      <c r="C28" s="49"/>
      <c r="D28" s="51"/>
      <c r="E28" s="51"/>
      <c r="F28" s="52">
        <f>B28*D28</f>
        <v>0</v>
      </c>
      <c r="G28" s="52">
        <f t="shared" si="8"/>
        <v>0</v>
      </c>
      <c r="H28" s="52">
        <f t="shared" si="9"/>
        <v>0</v>
      </c>
      <c r="I28" s="52">
        <f t="shared" si="10"/>
        <v>0</v>
      </c>
      <c r="J28" s="143">
        <f t="shared" si="11"/>
        <v>0</v>
      </c>
      <c r="K28" s="580"/>
      <c r="L28" s="52">
        <f t="shared" si="12"/>
        <v>0</v>
      </c>
      <c r="M28" s="581"/>
      <c r="N28" s="44">
        <f t="shared" si="13"/>
        <v>0</v>
      </c>
      <c r="O28" s="44">
        <f t="shared" si="14"/>
        <v>0</v>
      </c>
      <c r="P28" s="18"/>
      <c r="Q28" s="18"/>
      <c r="T28" s="33"/>
    </row>
    <row r="29" spans="1:20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P29" s="18"/>
      <c r="Q29" s="18"/>
      <c r="T29" s="33"/>
    </row>
    <row r="30" spans="1:15" s="18" customFormat="1" ht="21" customHeight="1">
      <c r="A30" s="600" t="s">
        <v>271</v>
      </c>
      <c r="B30" s="597" t="s">
        <v>176</v>
      </c>
      <c r="C30" s="599"/>
      <c r="D30" s="597" t="s">
        <v>221</v>
      </c>
      <c r="E30" s="599"/>
      <c r="F30" s="597" t="s">
        <v>219</v>
      </c>
      <c r="G30" s="598"/>
      <c r="H30" s="598"/>
      <c r="I30" s="599"/>
      <c r="J30" s="600" t="s">
        <v>222</v>
      </c>
      <c r="K30" s="597" t="s">
        <v>220</v>
      </c>
      <c r="L30" s="598"/>
      <c r="M30" s="599"/>
      <c r="N30" s="68"/>
      <c r="O30" s="68"/>
    </row>
    <row r="31" spans="1:20" ht="51.75" customHeight="1">
      <c r="A31" s="604"/>
      <c r="B31" s="15" t="s">
        <v>172</v>
      </c>
      <c r="C31" s="15" t="s">
        <v>179</v>
      </c>
      <c r="D31" s="16" t="s">
        <v>172</v>
      </c>
      <c r="E31" s="16" t="s">
        <v>173</v>
      </c>
      <c r="F31" s="16" t="s">
        <v>183</v>
      </c>
      <c r="G31" s="16" t="s">
        <v>198</v>
      </c>
      <c r="H31" s="16" t="s">
        <v>196</v>
      </c>
      <c r="I31" s="16" t="s">
        <v>197</v>
      </c>
      <c r="J31" s="601"/>
      <c r="K31" s="16" t="s">
        <v>203</v>
      </c>
      <c r="L31" s="16" t="s">
        <v>201</v>
      </c>
      <c r="M31" s="16" t="s">
        <v>202</v>
      </c>
      <c r="P31" s="18"/>
      <c r="Q31" s="18"/>
      <c r="T31" s="33"/>
    </row>
    <row r="32" spans="1:20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P32" s="18"/>
      <c r="Q32" s="18"/>
      <c r="T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20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P35" s="18"/>
      <c r="Q35" s="18"/>
      <c r="T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222</v>
      </c>
      <c r="K39" s="597" t="s">
        <v>223</v>
      </c>
      <c r="L39" s="598"/>
      <c r="M39" s="599"/>
    </row>
    <row r="40" spans="1:20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10"/>
      <c r="K40" s="76" t="s">
        <v>203</v>
      </c>
      <c r="L40" s="76" t="s">
        <v>224</v>
      </c>
      <c r="M40" s="76" t="s">
        <v>202</v>
      </c>
      <c r="P40" s="18"/>
      <c r="Q40" s="18"/>
      <c r="T40" s="33"/>
    </row>
    <row r="41" spans="1:20" ht="11.25" thickBot="1">
      <c r="A41" s="444" t="s">
        <v>161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P41" s="18"/>
      <c r="Q41" s="18"/>
      <c r="T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20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P43" s="18"/>
      <c r="Q43" s="33"/>
      <c r="T43" s="33"/>
    </row>
    <row r="44" spans="1:20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P44" s="18"/>
      <c r="Q44" s="33"/>
      <c r="T44" s="33"/>
    </row>
    <row r="45" spans="1:20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P45" s="18"/>
      <c r="Q45" s="33"/>
      <c r="T45" s="33"/>
    </row>
    <row r="46" spans="1:20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P46" s="18"/>
      <c r="Q46" s="33"/>
      <c r="T46" s="33"/>
    </row>
    <row r="47" spans="2:20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P47" s="18"/>
      <c r="Q47" s="33"/>
      <c r="T47" s="33"/>
    </row>
    <row r="48" spans="1:20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P48" s="18"/>
      <c r="Q48" s="33"/>
      <c r="T48" s="33"/>
    </row>
    <row r="49" spans="7:20" ht="10.5">
      <c r="G49" s="106"/>
      <c r="H49" s="106"/>
      <c r="M49" s="34"/>
      <c r="P49" s="18"/>
      <c r="Q49" s="33"/>
      <c r="T49" s="33"/>
    </row>
    <row r="50" spans="1:20" ht="24" customHeight="1">
      <c r="A50" s="547" t="s">
        <v>166</v>
      </c>
      <c r="B50" s="170" t="s">
        <v>205</v>
      </c>
      <c r="C50" s="258" t="s">
        <v>206</v>
      </c>
      <c r="D50" s="257"/>
      <c r="E50" s="257"/>
      <c r="F50" s="237"/>
      <c r="G50" s="238"/>
      <c r="H50" s="238"/>
      <c r="M50" s="34"/>
      <c r="P50" s="18"/>
      <c r="Q50" s="33"/>
      <c r="T50" s="33"/>
    </row>
    <row r="51" spans="1:20" ht="11.25">
      <c r="A51" s="277" t="s">
        <v>167</v>
      </c>
      <c r="B51" s="279" t="str">
        <f>IF($B$10&gt;0,(($B$10+$C$10)/2)/$B$2,"0")</f>
        <v>0</v>
      </c>
      <c r="C51" s="548" t="str">
        <f>IF($B$51="0","Données CDI manquantes !",IF($B$51&gt;0.0069,"Valeur anormalement basse !","ok!"))</f>
        <v>Données CDI manquantes !</v>
      </c>
      <c r="D51" s="280"/>
      <c r="E51" s="281"/>
      <c r="F51" s="165"/>
      <c r="G51" s="239"/>
      <c r="H51" s="239"/>
      <c r="M51" s="34"/>
      <c r="P51" s="18"/>
      <c r="Q51" s="33"/>
      <c r="T51" s="33"/>
    </row>
    <row r="52" spans="1:20" ht="11.25">
      <c r="A52" s="277" t="s">
        <v>168</v>
      </c>
      <c r="B52" s="193" t="str">
        <f>IF($B$11&gt;0,(($B$11+$C$11)/2)/($B$2/2),"0")</f>
        <v>0</v>
      </c>
      <c r="C52" s="549" t="str">
        <f>IF($B$52="0","Données HSH manquantes !",IF($B$52&gt;0.05,"Valeur anormalement haute !",IF($B$52&lt;0.02,"Valeur anormalement basse !","ok!")))</f>
        <v>Données HSH manquantes !</v>
      </c>
      <c r="D52" s="282"/>
      <c r="E52" s="283"/>
      <c r="F52" s="166"/>
      <c r="G52" s="239"/>
      <c r="H52" s="239"/>
      <c r="M52" s="34"/>
      <c r="P52" s="18"/>
      <c r="Q52" s="33"/>
      <c r="T52" s="33"/>
    </row>
    <row r="53" spans="1:20" ht="11.25">
      <c r="A53" s="277" t="s">
        <v>169</v>
      </c>
      <c r="B53" s="193" t="str">
        <f>IF($B$12&gt;0,(($B$12+$C$12)/2)/($B$2/2),"0")</f>
        <v>0</v>
      </c>
      <c r="C53" s="549" t="str">
        <f>IF($B$53="0","Données FSW manquantes !",IF($B$53&gt;0.008,"Valeur anormalement haute !",IF($B$53&lt;0.003,"Valeur anormalement faible C51!","ok!")))</f>
        <v>Données FSW manquantes !</v>
      </c>
      <c r="D53" s="282"/>
      <c r="E53" s="283"/>
      <c r="F53" s="166"/>
      <c r="G53" s="239"/>
      <c r="H53" s="239"/>
      <c r="M53" s="34"/>
      <c r="P53" s="18"/>
      <c r="Q53" s="33"/>
      <c r="T53" s="33"/>
    </row>
    <row r="54" spans="1:20" ht="21">
      <c r="A54" s="278" t="s">
        <v>228</v>
      </c>
      <c r="B54" s="284" t="str">
        <f>IF($B$13&gt;0,(($B$13+$C$13)/2)/($B$2/2),"0")</f>
        <v>0</v>
      </c>
      <c r="C54" s="550" t="str">
        <f>IF($B$54="0","Données clients des FSW manquantes!",IF($B$54&gt;0.2,"Valeur anormalement élevée!",IF($B$54&lt;0.05,"Valeur anormalement faible!","ok!")))</f>
        <v>Données clients des FSW manquantes!</v>
      </c>
      <c r="D54" s="285"/>
      <c r="E54" s="286"/>
      <c r="F54" s="166"/>
      <c r="G54" s="239"/>
      <c r="H54" s="239"/>
      <c r="M54" s="34"/>
      <c r="P54" s="18"/>
      <c r="Q54" s="33"/>
      <c r="T54" s="33"/>
    </row>
    <row r="55" spans="2:20" ht="9" customHeight="1">
      <c r="B55" s="108"/>
      <c r="D55" s="33"/>
      <c r="E55" s="33"/>
      <c r="M55" s="34"/>
      <c r="P55" s="18"/>
      <c r="Q55" s="33"/>
      <c r="T55" s="33"/>
    </row>
    <row r="56" spans="1:13" s="38" customFormat="1" ht="11.25" customHeight="1" hidden="1">
      <c r="A56" s="125" t="s">
        <v>180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1.25" customHeight="1" hidden="1">
      <c r="A57" s="611" t="s">
        <v>191</v>
      </c>
      <c r="B57" s="612" t="s">
        <v>188</v>
      </c>
      <c r="C57" s="612"/>
      <c r="D57" s="612" t="s">
        <v>189</v>
      </c>
      <c r="E57" s="612"/>
      <c r="F57" s="612" t="s">
        <v>185</v>
      </c>
      <c r="G57" s="612"/>
      <c r="H57" s="612"/>
      <c r="I57" s="612"/>
      <c r="J57" s="612" t="s">
        <v>184</v>
      </c>
      <c r="K57" s="612" t="s">
        <v>23</v>
      </c>
      <c r="L57" s="612"/>
      <c r="M57" s="613"/>
      <c r="U57" s="115"/>
    </row>
    <row r="58" spans="1:13" s="38" customFormat="1" ht="11.25" customHeight="1" hidden="1">
      <c r="A58" s="611"/>
      <c r="B58" s="123" t="s">
        <v>172</v>
      </c>
      <c r="C58" s="123" t="s">
        <v>179</v>
      </c>
      <c r="D58" s="123" t="s">
        <v>172</v>
      </c>
      <c r="E58" s="123" t="s">
        <v>173</v>
      </c>
      <c r="F58" s="123" t="s">
        <v>183</v>
      </c>
      <c r="G58" s="123" t="s">
        <v>198</v>
      </c>
      <c r="H58" s="123" t="s">
        <v>196</v>
      </c>
      <c r="I58" s="123" t="s">
        <v>197</v>
      </c>
      <c r="J58" s="612"/>
      <c r="K58" s="124" t="s">
        <v>20</v>
      </c>
      <c r="L58" s="124" t="s">
        <v>162</v>
      </c>
      <c r="M58" s="130" t="s">
        <v>1</v>
      </c>
    </row>
    <row r="59" spans="1:13" s="38" customFormat="1" ht="11.2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1.2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1.2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1.2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1.2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1.2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1.25" customHeight="1" hidden="1">
      <c r="A65" s="131" t="s">
        <v>157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1.2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1.25" customHeight="1" hidden="1">
      <c r="A67" s="611" t="s">
        <v>190</v>
      </c>
      <c r="B67" s="612" t="s">
        <v>188</v>
      </c>
      <c r="C67" s="612"/>
      <c r="D67" s="612" t="s">
        <v>189</v>
      </c>
      <c r="E67" s="612"/>
      <c r="F67" s="612" t="s">
        <v>185</v>
      </c>
      <c r="G67" s="612"/>
      <c r="H67" s="612"/>
      <c r="I67" s="612"/>
      <c r="J67" s="612" t="s">
        <v>184</v>
      </c>
      <c r="K67" s="612" t="s">
        <v>23</v>
      </c>
      <c r="L67" s="612"/>
      <c r="M67" s="613"/>
    </row>
    <row r="68" spans="1:13" s="38" customFormat="1" ht="11.25" customHeight="1" hidden="1">
      <c r="A68" s="614"/>
      <c r="B68" s="123" t="s">
        <v>172</v>
      </c>
      <c r="C68" s="123" t="s">
        <v>179</v>
      </c>
      <c r="D68" s="123" t="s">
        <v>172</v>
      </c>
      <c r="E68" s="123" t="s">
        <v>173</v>
      </c>
      <c r="F68" s="123" t="s">
        <v>183</v>
      </c>
      <c r="G68" s="123" t="s">
        <v>198</v>
      </c>
      <c r="H68" s="123" t="s">
        <v>196</v>
      </c>
      <c r="I68" s="123" t="s">
        <v>197</v>
      </c>
      <c r="J68" s="612"/>
      <c r="K68" s="124" t="s">
        <v>20</v>
      </c>
      <c r="L68" s="124" t="s">
        <v>162</v>
      </c>
      <c r="M68" s="130" t="s">
        <v>1</v>
      </c>
    </row>
    <row r="69" spans="1:13" s="38" customFormat="1" ht="11.25" customHeight="1" hidden="1">
      <c r="A69" s="133" t="s">
        <v>181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1.25" customHeight="1" hidden="1">
      <c r="A70" s="133" t="s">
        <v>182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1.25" customHeight="1" hidden="1">
      <c r="A71" s="134" t="s">
        <v>157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1.2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20" ht="11.25" customHeight="1">
      <c r="D74" s="33"/>
      <c r="E74" s="33"/>
      <c r="K74" s="34"/>
      <c r="N74" s="18"/>
      <c r="Q74" s="33"/>
      <c r="T74" s="33"/>
    </row>
    <row r="75" spans="1:13" s="38" customFormat="1" ht="10.5" customHeight="1">
      <c r="A75" s="131"/>
      <c r="B75" s="136"/>
      <c r="C75" s="136"/>
      <c r="D75" s="189"/>
      <c r="E75" s="190"/>
      <c r="F75" s="191"/>
      <c r="G75" s="191"/>
      <c r="H75" s="191"/>
      <c r="I75" s="191"/>
      <c r="J75" s="136"/>
      <c r="K75" s="136"/>
      <c r="L75" s="136"/>
      <c r="M75" s="137"/>
    </row>
    <row r="76" spans="1:13" s="38" customFormat="1" ht="10.5" customHeight="1">
      <c r="A76" s="40"/>
      <c r="B76" s="136"/>
      <c r="C76" s="136"/>
      <c r="D76" s="189"/>
      <c r="E76" s="190"/>
      <c r="F76" s="191"/>
      <c r="G76" s="191"/>
      <c r="H76" s="191"/>
      <c r="I76" s="191"/>
      <c r="J76" s="136"/>
      <c r="K76" s="136"/>
      <c r="L76" s="136"/>
      <c r="M76" s="136"/>
    </row>
    <row r="77" spans="4:20" ht="10.5" customHeight="1">
      <c r="D77" s="33"/>
      <c r="E77" s="33"/>
      <c r="K77" s="34"/>
      <c r="N77" s="18"/>
      <c r="Q77" s="33"/>
      <c r="T77" s="33"/>
    </row>
    <row r="78" spans="4:20" ht="10.5" customHeight="1">
      <c r="D78" s="33"/>
      <c r="E78" s="33"/>
      <c r="K78" s="34"/>
      <c r="N78" s="18"/>
      <c r="Q78" s="33"/>
      <c r="T78" s="33"/>
    </row>
    <row r="79" spans="4:20" ht="10.5">
      <c r="D79" s="33"/>
      <c r="E79" s="33"/>
      <c r="K79" s="34"/>
      <c r="N79" s="18"/>
      <c r="Q79" s="33"/>
      <c r="T79" s="33"/>
    </row>
    <row r="80" spans="4:20" ht="10.5">
      <c r="D80" s="33"/>
      <c r="E80" s="33"/>
      <c r="K80" s="34"/>
      <c r="N80" s="18"/>
      <c r="Q80" s="33"/>
      <c r="T80" s="33"/>
    </row>
    <row r="81" spans="4:20" ht="10.5">
      <c r="D81" s="33"/>
      <c r="E81" s="33"/>
      <c r="M81" s="34"/>
      <c r="P81" s="18"/>
      <c r="Q81" s="33"/>
      <c r="T81" s="33"/>
    </row>
    <row r="82" spans="4:20" ht="10.5">
      <c r="D82" s="33"/>
      <c r="E82" s="33"/>
      <c r="M82" s="34"/>
      <c r="P82" s="18"/>
      <c r="Q82" s="33"/>
      <c r="T82" s="33"/>
    </row>
    <row r="83" spans="4:20" ht="10.5">
      <c r="D83" s="33"/>
      <c r="E83" s="33"/>
      <c r="M83" s="34"/>
      <c r="P83" s="18"/>
      <c r="Q83" s="33"/>
      <c r="T83" s="33"/>
    </row>
    <row r="84" spans="4:20" ht="10.5">
      <c r="D84" s="33"/>
      <c r="E84" s="33"/>
      <c r="M84" s="34"/>
      <c r="P84" s="18"/>
      <c r="Q84" s="33"/>
      <c r="T84" s="33"/>
    </row>
    <row r="85" spans="4:20" ht="10.5">
      <c r="D85" s="33"/>
      <c r="E85" s="33"/>
      <c r="M85" s="34"/>
      <c r="P85" s="18"/>
      <c r="Q85" s="33"/>
      <c r="T85" s="33"/>
    </row>
    <row r="86" spans="15:20" ht="10.5">
      <c r="O86" s="34"/>
      <c r="Q86" s="33"/>
      <c r="R86" s="18"/>
      <c r="T86" s="33"/>
    </row>
    <row r="87" spans="15:20" ht="10.5">
      <c r="O87" s="34"/>
      <c r="Q87" s="33"/>
      <c r="R87" s="18"/>
      <c r="T87" s="33"/>
    </row>
    <row r="88" spans="15:20" ht="10.5">
      <c r="O88" s="34"/>
      <c r="Q88" s="33"/>
      <c r="R88" s="18"/>
      <c r="T88" s="33"/>
    </row>
    <row r="89" spans="15:20" ht="10.5">
      <c r="O89" s="34"/>
      <c r="Q89" s="33"/>
      <c r="R89" s="18"/>
      <c r="T89" s="33"/>
    </row>
    <row r="90" spans="15:20" ht="10.5">
      <c r="O90" s="34"/>
      <c r="Q90" s="33"/>
      <c r="R90" s="18"/>
      <c r="T90" s="33"/>
    </row>
    <row r="91" spans="15:20" ht="10.5">
      <c r="O91" s="34"/>
      <c r="Q91" s="33"/>
      <c r="R91" s="18"/>
      <c r="T91" s="33"/>
    </row>
    <row r="92" spans="15:20" ht="10.5">
      <c r="O92" s="34"/>
      <c r="Q92" s="33"/>
      <c r="R92" s="18"/>
      <c r="T92" s="33"/>
    </row>
    <row r="93" spans="15:20" ht="10.5">
      <c r="O93" s="34"/>
      <c r="Q93" s="33"/>
      <c r="R93" s="18"/>
      <c r="T93" s="33"/>
    </row>
    <row r="94" spans="15:20" ht="10.5">
      <c r="O94" s="34"/>
      <c r="Q94" s="33"/>
      <c r="R94" s="18"/>
      <c r="T94" s="33"/>
    </row>
    <row r="95" spans="15:20" ht="10.5">
      <c r="O95" s="34"/>
      <c r="Q95" s="33"/>
      <c r="R95" s="18"/>
      <c r="T95" s="33"/>
    </row>
    <row r="96" spans="15:20" ht="10.5">
      <c r="O96" s="34"/>
      <c r="Q96" s="33"/>
      <c r="R96" s="18"/>
      <c r="T96" s="33"/>
    </row>
    <row r="97" spans="15:20" ht="10.5">
      <c r="O97" s="34"/>
      <c r="Q97" s="33"/>
      <c r="R97" s="18"/>
      <c r="T97" s="33"/>
    </row>
    <row r="98" spans="15:20" ht="10.5">
      <c r="O98" s="34"/>
      <c r="Q98" s="33"/>
      <c r="R98" s="18"/>
      <c r="T98" s="33"/>
    </row>
    <row r="99" spans="15:20" ht="10.5">
      <c r="O99" s="34"/>
      <c r="Q99" s="33"/>
      <c r="R99" s="18"/>
      <c r="T99" s="33"/>
    </row>
    <row r="100" spans="15:20" ht="10.5">
      <c r="O100" s="34"/>
      <c r="Q100" s="33"/>
      <c r="R100" s="18"/>
      <c r="T100" s="33"/>
    </row>
    <row r="101" spans="15:20" ht="10.5">
      <c r="O101" s="34"/>
      <c r="Q101" s="33"/>
      <c r="R101" s="18"/>
      <c r="T101" s="33"/>
    </row>
    <row r="102" spans="15:20" ht="10.5">
      <c r="O102" s="34"/>
      <c r="Q102" s="33"/>
      <c r="R102" s="18"/>
      <c r="T102" s="33"/>
    </row>
    <row r="103" spans="15:20" ht="10.5">
      <c r="O103" s="34"/>
      <c r="Q103" s="33"/>
      <c r="R103" s="18"/>
      <c r="T103" s="33"/>
    </row>
    <row r="104" spans="15:20" ht="10.5">
      <c r="O104" s="34"/>
      <c r="Q104" s="33"/>
      <c r="R104" s="18"/>
      <c r="T104" s="33"/>
    </row>
    <row r="105" spans="15:20" ht="10.5">
      <c r="O105" s="34"/>
      <c r="Q105" s="33"/>
      <c r="R105" s="18"/>
      <c r="T105" s="33"/>
    </row>
    <row r="106" spans="15:20" ht="10.5">
      <c r="O106" s="34"/>
      <c r="Q106" s="33"/>
      <c r="R106" s="18"/>
      <c r="T106" s="33"/>
    </row>
    <row r="107" spans="15:20" ht="10.5">
      <c r="O107" s="34"/>
      <c r="Q107" s="33"/>
      <c r="R107" s="18"/>
      <c r="T107" s="33"/>
    </row>
    <row r="108" spans="15:20" ht="10.5">
      <c r="O108" s="34"/>
      <c r="Q108" s="33"/>
      <c r="R108" s="18"/>
      <c r="T108" s="33"/>
    </row>
    <row r="109" spans="15:20" ht="10.5">
      <c r="O109" s="34"/>
      <c r="Q109" s="33"/>
      <c r="R109" s="18"/>
      <c r="T109" s="33"/>
    </row>
    <row r="110" spans="15:20" ht="10.5">
      <c r="O110" s="34"/>
      <c r="Q110" s="33"/>
      <c r="R110" s="18"/>
      <c r="T110" s="33"/>
    </row>
    <row r="111" spans="15:20" ht="10.5">
      <c r="O111" s="34"/>
      <c r="Q111" s="33"/>
      <c r="R111" s="18"/>
      <c r="T111" s="33"/>
    </row>
    <row r="112" spans="15:20" ht="10.5">
      <c r="O112" s="34"/>
      <c r="Q112" s="33"/>
      <c r="R112" s="18"/>
      <c r="T112" s="33"/>
    </row>
    <row r="113" spans="15:20" ht="10.5">
      <c r="O113" s="34"/>
      <c r="Q113" s="33"/>
      <c r="R113" s="18"/>
      <c r="T113" s="33"/>
    </row>
    <row r="114" spans="15:20" ht="10.5">
      <c r="O114" s="34"/>
      <c r="Q114" s="33"/>
      <c r="R114" s="18"/>
      <c r="T114" s="33"/>
    </row>
  </sheetData>
  <sheetProtection sheet="1" objects="1" scenarios="1"/>
  <mergeCells count="36">
    <mergeCell ref="J67:J68"/>
    <mergeCell ref="K67:M67"/>
    <mergeCell ref="B57:C57"/>
    <mergeCell ref="D57:E57"/>
    <mergeCell ref="F57:I57"/>
    <mergeCell ref="J57:J58"/>
    <mergeCell ref="A67:A68"/>
    <mergeCell ref="B67:C67"/>
    <mergeCell ref="D67:E67"/>
    <mergeCell ref="F67:I67"/>
    <mergeCell ref="K30:M30"/>
    <mergeCell ref="K39:M39"/>
    <mergeCell ref="B39:C39"/>
    <mergeCell ref="K57:M57"/>
    <mergeCell ref="D30:E30"/>
    <mergeCell ref="A57:A58"/>
    <mergeCell ref="K8:M8"/>
    <mergeCell ref="J21:J22"/>
    <mergeCell ref="D39:E39"/>
    <mergeCell ref="F39:I39"/>
    <mergeCell ref="A8:A9"/>
    <mergeCell ref="A21:A22"/>
    <mergeCell ref="K21:M21"/>
    <mergeCell ref="A30:A31"/>
    <mergeCell ref="B30:C30"/>
    <mergeCell ref="D4:D5"/>
    <mergeCell ref="F8:I8"/>
    <mergeCell ref="F21:I21"/>
    <mergeCell ref="J39:J40"/>
    <mergeCell ref="J8:J9"/>
    <mergeCell ref="F30:I30"/>
    <mergeCell ref="J30:J31"/>
    <mergeCell ref="B8:C8"/>
    <mergeCell ref="D8:E8"/>
    <mergeCell ref="B21:C21"/>
    <mergeCell ref="D21:E21"/>
  </mergeCells>
  <printOptions/>
  <pageMargins left="0.48" right="0.45" top="0.76" bottom="0.42" header="0.5" footer="0.4"/>
  <pageSetup fitToHeight="1" fitToWidth="1" horizontalDpi="600" verticalDpi="600" orientation="landscape" paperSize="9" scale="61" r:id="rId1"/>
  <headerFooter alignWithMargins="0">
    <oddHeader>&amp;L&amp;F
&amp;D  &amp;T&amp;C&amp;A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74"/>
  <sheetViews>
    <sheetView workbookViewId="0" topLeftCell="A1">
      <pane ySplit="6" topLeftCell="BM7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34.00390625" style="33" customWidth="1"/>
    <col min="2" max="3" width="13.421875" style="32" customWidth="1"/>
    <col min="4" max="4" width="10.00390625" style="32" customWidth="1"/>
    <col min="5" max="5" width="9.57421875" style="32" customWidth="1"/>
    <col min="6" max="6" width="8.8515625" style="33" customWidth="1"/>
    <col min="7" max="9" width="9.140625" style="33" customWidth="1"/>
    <col min="10" max="11" width="9.421875" style="33" customWidth="1"/>
    <col min="12" max="12" width="10.57421875" style="33" customWidth="1"/>
    <col min="13" max="13" width="8.28125" style="33" customWidth="1"/>
    <col min="14" max="14" width="9.140625" style="33" hidden="1" customWidth="1"/>
    <col min="15" max="15" width="9.421875" style="34" hidden="1" customWidth="1"/>
    <col min="16" max="16" width="9.00390625" style="18" customWidth="1"/>
    <col min="17" max="18" width="8.421875" style="18" customWidth="1"/>
    <col min="19" max="21" width="8.421875" style="33" customWidth="1"/>
    <col min="22" max="16384" width="9.140625" style="33" customWidth="1"/>
  </cols>
  <sheetData>
    <row r="1" spans="1:10" ht="12.75">
      <c r="A1" s="206">
        <f>IF(Installation!C9&gt;0,Installation!B8,"")</f>
      </c>
      <c r="B1" s="205">
        <f>Installation!B9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Installation!C9</f>
        <v>0</v>
      </c>
      <c r="C2" s="167"/>
      <c r="D2" s="452">
        <f>IF(E4&lt;&gt;"",IF(E5&lt;&gt;"","Choisir qu'UNE methode!",""),"")</f>
      </c>
    </row>
    <row r="3" spans="1:10" ht="13.5" customHeight="1">
      <c r="A3" s="159" t="s">
        <v>154</v>
      </c>
      <c r="B3" s="203">
        <f>Installation!E9</f>
        <v>0</v>
      </c>
      <c r="C3" s="168"/>
      <c r="D3" s="98" t="s">
        <v>239</v>
      </c>
      <c r="E3" s="63"/>
      <c r="F3" s="99"/>
      <c r="G3" s="63"/>
      <c r="H3" s="64"/>
      <c r="I3" s="65"/>
      <c r="J3" s="65"/>
    </row>
    <row r="4" spans="1:12" ht="14.2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3" t="s">
        <v>286</v>
      </c>
      <c r="G4" s="72"/>
      <c r="H4" s="73"/>
      <c r="I4" s="72"/>
      <c r="J4" s="73"/>
      <c r="K4" s="73"/>
      <c r="L4" s="551"/>
    </row>
    <row r="5" spans="1:12" ht="14.2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J5" s="73"/>
      <c r="K5" s="73"/>
      <c r="L5" s="551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247</v>
      </c>
      <c r="N9" s="33" t="s">
        <v>237</v>
      </c>
      <c r="O9" s="33" t="s">
        <v>238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249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251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237</v>
      </c>
      <c r="O22" s="33" t="s">
        <v>238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249</v>
      </c>
      <c r="C30" s="599"/>
      <c r="D30" s="597" t="s">
        <v>230</v>
      </c>
      <c r="E30" s="599"/>
      <c r="F30" s="597" t="s">
        <v>219</v>
      </c>
      <c r="G30" s="598"/>
      <c r="H30" s="598"/>
      <c r="I30" s="599"/>
      <c r="J30" s="600" t="s">
        <v>251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248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>
        <v>0.02</v>
      </c>
      <c r="E32" s="3">
        <v>0.03</v>
      </c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>
        <v>0.01</v>
      </c>
      <c r="E33" s="3">
        <v>0.02</v>
      </c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251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10"/>
      <c r="K40" s="76" t="s">
        <v>203</v>
      </c>
      <c r="L40" s="76" t="s">
        <v>201</v>
      </c>
      <c r="M40" s="16" t="s">
        <v>248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21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2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240</v>
      </c>
      <c r="B57" s="612" t="s">
        <v>249</v>
      </c>
      <c r="C57" s="612"/>
      <c r="D57" s="612" t="s">
        <v>230</v>
      </c>
      <c r="E57" s="612"/>
      <c r="F57" s="612" t="s">
        <v>250</v>
      </c>
      <c r="G57" s="612"/>
      <c r="H57" s="612"/>
      <c r="I57" s="612"/>
      <c r="J57" s="612" t="s">
        <v>251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233</v>
      </c>
      <c r="G58" s="123" t="s">
        <v>235</v>
      </c>
      <c r="H58" s="123" t="s">
        <v>234</v>
      </c>
      <c r="I58" s="123" t="s">
        <v>236</v>
      </c>
      <c r="J58" s="612"/>
      <c r="K58" s="124" t="s">
        <v>203</v>
      </c>
      <c r="L58" s="124" t="s">
        <v>201</v>
      </c>
      <c r="M58" s="130" t="s">
        <v>1</v>
      </c>
    </row>
    <row r="59" spans="1:13" s="38" customFormat="1" ht="15.75" customHeight="1" hidden="1">
      <c r="A59" s="133" t="s">
        <v>241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242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243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244</v>
      </c>
      <c r="B67" s="612" t="s">
        <v>249</v>
      </c>
      <c r="C67" s="612"/>
      <c r="D67" s="612" t="s">
        <v>230</v>
      </c>
      <c r="E67" s="612"/>
      <c r="F67" s="612" t="s">
        <v>250</v>
      </c>
      <c r="G67" s="612"/>
      <c r="H67" s="612"/>
      <c r="I67" s="612"/>
      <c r="J67" s="612" t="s">
        <v>251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233</v>
      </c>
      <c r="G68" s="123" t="s">
        <v>235</v>
      </c>
      <c r="H68" s="123" t="s">
        <v>234</v>
      </c>
      <c r="I68" s="123" t="s">
        <v>236</v>
      </c>
      <c r="J68" s="612"/>
      <c r="K68" s="124" t="s">
        <v>20</v>
      </c>
      <c r="L68" s="124" t="s">
        <v>201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K57:M57"/>
    <mergeCell ref="D67:E67"/>
    <mergeCell ref="F67:I67"/>
    <mergeCell ref="J67:J68"/>
    <mergeCell ref="K67:M67"/>
    <mergeCell ref="D4:D5"/>
    <mergeCell ref="A30:A31"/>
    <mergeCell ref="A8:A9"/>
    <mergeCell ref="A21:A22"/>
    <mergeCell ref="B8:C8"/>
    <mergeCell ref="D8:E8"/>
    <mergeCell ref="B21:C21"/>
    <mergeCell ref="D21:E21"/>
    <mergeCell ref="D30:E30"/>
    <mergeCell ref="A57:A58"/>
    <mergeCell ref="A67:A68"/>
    <mergeCell ref="B30:C30"/>
    <mergeCell ref="D39:E39"/>
    <mergeCell ref="B57:C57"/>
    <mergeCell ref="B39:C39"/>
    <mergeCell ref="F39:I39"/>
    <mergeCell ref="B67:C67"/>
    <mergeCell ref="D57:E57"/>
    <mergeCell ref="J8:J9"/>
    <mergeCell ref="F57:I57"/>
    <mergeCell ref="J57:J58"/>
    <mergeCell ref="K8:M8"/>
    <mergeCell ref="J39:J40"/>
    <mergeCell ref="K39:M39"/>
    <mergeCell ref="F8:I8"/>
    <mergeCell ref="J30:J31"/>
    <mergeCell ref="K30:M30"/>
    <mergeCell ref="F30:I30"/>
    <mergeCell ref="F21:I21"/>
    <mergeCell ref="J21:J22"/>
    <mergeCell ref="K21:M21"/>
  </mergeCells>
  <printOptions/>
  <pageMargins left="0.75" right="0.75" top="0.61" bottom="0.45" header="0.4" footer="0.41"/>
  <pageSetup fitToHeight="1" fitToWidth="1" horizontalDpi="600" verticalDpi="600" orientation="landscape" paperSize="9" scale="65" r:id="rId1"/>
  <headerFooter alignWithMargins="0">
    <oddHeader>&amp;L&amp;F
&amp;D  &amp;T&amp;C&amp;A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74"/>
  <sheetViews>
    <sheetView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33.421875" style="33" customWidth="1"/>
    <col min="2" max="2" width="13.57421875" style="32" customWidth="1"/>
    <col min="3" max="3" width="12.8515625" style="32" customWidth="1"/>
    <col min="4" max="4" width="11.00390625" style="32" customWidth="1"/>
    <col min="5" max="5" width="9.57421875" style="32" customWidth="1"/>
    <col min="6" max="7" width="8.8515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140625" style="33" customWidth="1"/>
    <col min="14" max="14" width="9.140625" style="18" hidden="1" customWidth="1"/>
    <col min="15" max="15" width="9.421875" style="19" hidden="1" customWidth="1"/>
    <col min="16" max="16" width="9.00390625" style="18" hidden="1" customWidth="1"/>
    <col min="17" max="17" width="9.421875" style="18" hidden="1" customWidth="1"/>
    <col min="18" max="18" width="9.421875" style="18" customWidth="1"/>
    <col min="19" max="20" width="9.421875" style="33" customWidth="1"/>
    <col min="21" max="16384" width="9.140625" style="33" customWidth="1"/>
  </cols>
  <sheetData>
    <row r="1" spans="1:10" ht="12.75">
      <c r="A1" s="206">
        <f>IF(Installation!C10&gt;0,Installation!B8,"")</f>
      </c>
      <c r="B1" s="205">
        <f>Installation!B10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Installation!C10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Installation!E10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N8" s="33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N31" s="33"/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N32" s="33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N35" s="33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N40" s="33"/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N41" s="33"/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N43" s="33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N44" s="33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N45" s="33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N46" s="33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N47" s="33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N48" s="33"/>
      <c r="O48" s="33"/>
      <c r="Q48" s="33"/>
      <c r="R48" s="33"/>
    </row>
    <row r="49" spans="7:18" ht="10.5">
      <c r="G49" s="106"/>
      <c r="H49" s="106"/>
      <c r="M49" s="34"/>
      <c r="N49" s="33"/>
      <c r="O49" s="33"/>
      <c r="Q49" s="33"/>
      <c r="R49" s="33"/>
    </row>
    <row r="50" spans="1:18" ht="21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N50" s="33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N51" s="33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N52" s="33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N53" s="33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N54" s="33"/>
      <c r="O54" s="33"/>
      <c r="Q54" s="33"/>
      <c r="R54" s="33"/>
    </row>
    <row r="55" spans="2:18" ht="9" customHeight="1">
      <c r="B55" s="108"/>
      <c r="D55" s="33"/>
      <c r="E55" s="33"/>
      <c r="M55" s="34"/>
      <c r="N55" s="33"/>
      <c r="O55" s="33"/>
      <c r="Q55" s="33"/>
      <c r="R55" s="33"/>
    </row>
    <row r="56" spans="1:13" s="38" customFormat="1" ht="6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6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6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6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6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6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6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6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6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6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6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6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6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6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6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6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6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J67:J68"/>
    <mergeCell ref="K67:M67"/>
    <mergeCell ref="A57:A58"/>
    <mergeCell ref="D57:E57"/>
    <mergeCell ref="F57:I57"/>
    <mergeCell ref="J57:J58"/>
    <mergeCell ref="A67:A68"/>
    <mergeCell ref="B67:C67"/>
    <mergeCell ref="D67:E67"/>
    <mergeCell ref="F67:I67"/>
    <mergeCell ref="D4:D5"/>
    <mergeCell ref="F21:I21"/>
    <mergeCell ref="F30:I30"/>
    <mergeCell ref="B21:C21"/>
    <mergeCell ref="D21:E21"/>
    <mergeCell ref="B30:C30"/>
    <mergeCell ref="J8:J9"/>
    <mergeCell ref="K8:M8"/>
    <mergeCell ref="B57:C57"/>
    <mergeCell ref="F39:I39"/>
    <mergeCell ref="B39:C39"/>
    <mergeCell ref="D39:E39"/>
    <mergeCell ref="K57:M57"/>
    <mergeCell ref="A8:A9"/>
    <mergeCell ref="F8:I8"/>
    <mergeCell ref="B8:C8"/>
    <mergeCell ref="D8:E8"/>
    <mergeCell ref="A21:A22"/>
    <mergeCell ref="J39:J40"/>
    <mergeCell ref="K39:M39"/>
    <mergeCell ref="A30:A31"/>
    <mergeCell ref="J21:J22"/>
    <mergeCell ref="K21:M21"/>
    <mergeCell ref="D30:E30"/>
    <mergeCell ref="J30:J31"/>
    <mergeCell ref="K30:M30"/>
  </mergeCells>
  <printOptions/>
  <pageMargins left="0.75" right="0.75" top="0.76" bottom="0.63" header="0.5" footer="0.5"/>
  <pageSetup fitToHeight="1" fitToWidth="1" horizontalDpi="600" verticalDpi="600" orientation="landscape" scale="64" r:id="rId1"/>
  <headerFooter alignWithMargins="0">
    <oddHeader>&amp;L&amp;F
&amp;D &amp;T&amp;C&amp;A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74"/>
  <sheetViews>
    <sheetView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33.8515625" style="33" customWidth="1"/>
    <col min="2" max="2" width="13.28125" style="32" customWidth="1"/>
    <col min="3" max="3" width="12.8515625" style="32" customWidth="1"/>
    <col min="4" max="4" width="10.28125" style="32" customWidth="1"/>
    <col min="5" max="5" width="9.57421875" style="32" customWidth="1"/>
    <col min="6" max="7" width="8.8515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140625" style="33" customWidth="1"/>
    <col min="14" max="14" width="9.140625" style="33" hidden="1" customWidth="1"/>
    <col min="15" max="15" width="9.421875" style="34" hidden="1" customWidth="1"/>
    <col min="16" max="16" width="9.00390625" style="18" customWidth="1"/>
    <col min="17" max="18" width="9.421875" style="18" customWidth="1"/>
    <col min="19" max="20" width="9.421875" style="33" customWidth="1"/>
    <col min="21" max="16384" width="9.140625" style="33" customWidth="1"/>
  </cols>
  <sheetData>
    <row r="1" spans="1:10" ht="12.75">
      <c r="A1" s="206">
        <f>IF(Installation!C11&gt;0,Installation!B8,"")</f>
      </c>
      <c r="B1" s="205">
        <f>Installation!B11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Installation!C11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Installation!E11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21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15.7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D67:E67"/>
    <mergeCell ref="F67:I67"/>
    <mergeCell ref="J67:J68"/>
    <mergeCell ref="K67:M67"/>
    <mergeCell ref="D57:E57"/>
    <mergeCell ref="F57:I57"/>
    <mergeCell ref="J57:J58"/>
    <mergeCell ref="K57:M57"/>
    <mergeCell ref="A57:A58"/>
    <mergeCell ref="B57:C57"/>
    <mergeCell ref="A30:A31"/>
    <mergeCell ref="A67:A68"/>
    <mergeCell ref="B67:C67"/>
    <mergeCell ref="K39:M39"/>
    <mergeCell ref="K30:M30"/>
    <mergeCell ref="A8:A9"/>
    <mergeCell ref="F8:I8"/>
    <mergeCell ref="B30:C30"/>
    <mergeCell ref="F30:I30"/>
    <mergeCell ref="A21:A22"/>
    <mergeCell ref="F21:I21"/>
    <mergeCell ref="B8:C8"/>
    <mergeCell ref="D8:E8"/>
    <mergeCell ref="D39:E39"/>
    <mergeCell ref="B39:C39"/>
    <mergeCell ref="J30:J31"/>
    <mergeCell ref="D4:D5"/>
    <mergeCell ref="J8:J9"/>
    <mergeCell ref="F39:I39"/>
    <mergeCell ref="J39:J40"/>
    <mergeCell ref="D30:E30"/>
    <mergeCell ref="B21:C21"/>
    <mergeCell ref="K8:M8"/>
    <mergeCell ref="D21:E21"/>
    <mergeCell ref="J21:J22"/>
    <mergeCell ref="K21:M21"/>
  </mergeCells>
  <printOptions/>
  <pageMargins left="0.75" right="0.75" top="0.76" bottom="0.62" header="0.5" footer="0.5"/>
  <pageSetup fitToHeight="1" fitToWidth="1" horizontalDpi="600" verticalDpi="600" orientation="landscape" scale="64" r:id="rId1"/>
  <headerFooter alignWithMargins="0">
    <oddHeader>&amp;L&amp;F 
&amp;D  &amp;T&amp;C&amp;A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74"/>
  <sheetViews>
    <sheetView workbookViewId="0" topLeftCell="A1">
      <pane ySplit="6" topLeftCell="BM7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33.7109375" style="33" customWidth="1"/>
    <col min="2" max="2" width="13.28125" style="32" customWidth="1"/>
    <col min="3" max="3" width="12.28125" style="32" customWidth="1"/>
    <col min="4" max="4" width="10.140625" style="32" customWidth="1"/>
    <col min="5" max="5" width="9.57421875" style="32" customWidth="1"/>
    <col min="6" max="7" width="8.8515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28125" style="33" customWidth="1"/>
    <col min="14" max="14" width="9.140625" style="33" hidden="1" customWidth="1"/>
    <col min="15" max="15" width="9.421875" style="34" hidden="1" customWidth="1"/>
    <col min="16" max="18" width="9.00390625" style="18" customWidth="1"/>
    <col min="19" max="20" width="9.00390625" style="33" customWidth="1"/>
    <col min="21" max="16384" width="9.140625" style="33" customWidth="1"/>
  </cols>
  <sheetData>
    <row r="1" spans="1:10" ht="12.75">
      <c r="A1" s="206">
        <f>IF(Installation!C12&gt;0,Installation!B8,"")</f>
      </c>
      <c r="B1" s="205">
        <f>Installation!B12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Installation!C12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Installation!E12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21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15.7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D67:E67"/>
    <mergeCell ref="F67:I67"/>
    <mergeCell ref="J67:J68"/>
    <mergeCell ref="K67:M67"/>
    <mergeCell ref="D57:E57"/>
    <mergeCell ref="F57:I57"/>
    <mergeCell ref="J57:J58"/>
    <mergeCell ref="K57:M57"/>
    <mergeCell ref="A57:A58"/>
    <mergeCell ref="B57:C57"/>
    <mergeCell ref="A30:A31"/>
    <mergeCell ref="A67:A68"/>
    <mergeCell ref="B67:C67"/>
    <mergeCell ref="K39:M39"/>
    <mergeCell ref="K30:M30"/>
    <mergeCell ref="A8:A9"/>
    <mergeCell ref="F8:I8"/>
    <mergeCell ref="B30:C30"/>
    <mergeCell ref="F30:I30"/>
    <mergeCell ref="A21:A22"/>
    <mergeCell ref="F21:I21"/>
    <mergeCell ref="B8:C8"/>
    <mergeCell ref="D8:E8"/>
    <mergeCell ref="D39:E39"/>
    <mergeCell ref="B39:C39"/>
    <mergeCell ref="J30:J31"/>
    <mergeCell ref="D4:D5"/>
    <mergeCell ref="J8:J9"/>
    <mergeCell ref="F39:I39"/>
    <mergeCell ref="J39:J40"/>
    <mergeCell ref="D30:E30"/>
    <mergeCell ref="B21:C21"/>
    <mergeCell ref="K8:M8"/>
    <mergeCell ref="D21:E21"/>
    <mergeCell ref="J21:J22"/>
    <mergeCell ref="K21:M21"/>
  </mergeCells>
  <printOptions/>
  <pageMargins left="0.75" right="0.75" top="0.74" bottom="0.64" header="0.5" footer="0.5"/>
  <pageSetup fitToHeight="1" fitToWidth="1" horizontalDpi="600" verticalDpi="600" orientation="landscape" paperSize="9" scale="62" r:id="rId1"/>
  <headerFooter alignWithMargins="0">
    <oddHeader>&amp;L&amp;F
&amp;D  &amp;T&amp;C&amp;A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74"/>
  <sheetViews>
    <sheetView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34.140625" style="33" customWidth="1"/>
    <col min="2" max="2" width="13.57421875" style="32" customWidth="1"/>
    <col min="3" max="3" width="11.57421875" style="32" customWidth="1"/>
    <col min="4" max="4" width="9.7109375" style="32" customWidth="1"/>
    <col min="5" max="5" width="9.57421875" style="32" customWidth="1"/>
    <col min="6" max="6" width="8.8515625" style="33" customWidth="1"/>
    <col min="7" max="7" width="9.00390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28125" style="33" customWidth="1"/>
    <col min="14" max="14" width="9.140625" style="33" hidden="1" customWidth="1"/>
    <col min="15" max="15" width="9.421875" style="34" hidden="1" customWidth="1"/>
    <col min="16" max="18" width="9.00390625" style="18" customWidth="1"/>
    <col min="19" max="20" width="9.00390625" style="33" customWidth="1"/>
    <col min="21" max="16384" width="9.140625" style="33" customWidth="1"/>
  </cols>
  <sheetData>
    <row r="1" spans="1:10" ht="12.75">
      <c r="A1" s="206">
        <f>IF(Installation!C13&gt;0,Installation!B8,"")</f>
      </c>
      <c r="B1" s="205">
        <f>Installation!B13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Installation!C13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Installation!E13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21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15.7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K57:M57"/>
    <mergeCell ref="D67:E67"/>
    <mergeCell ref="F67:I67"/>
    <mergeCell ref="J67:J68"/>
    <mergeCell ref="K67:M67"/>
    <mergeCell ref="A67:A68"/>
    <mergeCell ref="B67:C67"/>
    <mergeCell ref="D57:E57"/>
    <mergeCell ref="F57:I57"/>
    <mergeCell ref="B39:C39"/>
    <mergeCell ref="D30:E30"/>
    <mergeCell ref="J30:J31"/>
    <mergeCell ref="A57:A58"/>
    <mergeCell ref="B57:C57"/>
    <mergeCell ref="A30:A31"/>
    <mergeCell ref="B30:C30"/>
    <mergeCell ref="F30:I30"/>
    <mergeCell ref="J57:J58"/>
    <mergeCell ref="D4:D5"/>
    <mergeCell ref="A8:A9"/>
    <mergeCell ref="F8:I8"/>
    <mergeCell ref="A21:A22"/>
    <mergeCell ref="F21:I21"/>
    <mergeCell ref="B8:C8"/>
    <mergeCell ref="D8:E8"/>
    <mergeCell ref="J8:J9"/>
    <mergeCell ref="K8:M8"/>
    <mergeCell ref="B21:C21"/>
    <mergeCell ref="D21:E21"/>
    <mergeCell ref="J21:J22"/>
    <mergeCell ref="K21:M21"/>
    <mergeCell ref="K30:M30"/>
    <mergeCell ref="D39:E39"/>
    <mergeCell ref="F39:I39"/>
    <mergeCell ref="J39:J40"/>
    <mergeCell ref="K39:M39"/>
  </mergeCells>
  <printOptions/>
  <pageMargins left="0.75" right="0.75" top="0.76" bottom="0.68" header="0.5" footer="0.5"/>
  <pageSetup fitToHeight="1" fitToWidth="1" horizontalDpi="600" verticalDpi="600" orientation="landscape" paperSize="9" scale="62" r:id="rId1"/>
  <headerFooter alignWithMargins="0">
    <oddHeader>&amp;L&amp;F
&amp;D  &amp;T&amp;C&amp;A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74"/>
  <sheetViews>
    <sheetView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34.00390625" style="33" customWidth="1"/>
    <col min="2" max="2" width="13.00390625" style="32" customWidth="1"/>
    <col min="3" max="3" width="12.140625" style="32" customWidth="1"/>
    <col min="4" max="4" width="11.140625" style="32" customWidth="1"/>
    <col min="5" max="5" width="9.57421875" style="32" customWidth="1"/>
    <col min="6" max="7" width="8.8515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28125" style="33" customWidth="1"/>
    <col min="14" max="14" width="9.140625" style="33" hidden="1" customWidth="1"/>
    <col min="15" max="15" width="9.421875" style="34" hidden="1" customWidth="1"/>
    <col min="16" max="18" width="9.00390625" style="18" customWidth="1"/>
    <col min="19" max="20" width="9.00390625" style="33" customWidth="1"/>
    <col min="21" max="16384" width="9.140625" style="33" customWidth="1"/>
  </cols>
  <sheetData>
    <row r="1" spans="1:10" ht="12.75">
      <c r="A1" s="206">
        <f>IF(Installation!C14&gt;0,Installation!B8,"")</f>
      </c>
      <c r="B1" s="205">
        <f>Installation!B14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Installation!C14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Installation!E14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31.5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15.7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K57:M57"/>
    <mergeCell ref="D67:E67"/>
    <mergeCell ref="F67:I67"/>
    <mergeCell ref="J67:J68"/>
    <mergeCell ref="K67:M67"/>
    <mergeCell ref="A67:A68"/>
    <mergeCell ref="B67:C67"/>
    <mergeCell ref="D57:E57"/>
    <mergeCell ref="F57:I57"/>
    <mergeCell ref="B39:C39"/>
    <mergeCell ref="D30:E30"/>
    <mergeCell ref="J30:J31"/>
    <mergeCell ref="A57:A58"/>
    <mergeCell ref="B57:C57"/>
    <mergeCell ref="A30:A31"/>
    <mergeCell ref="B30:C30"/>
    <mergeCell ref="F30:I30"/>
    <mergeCell ref="J57:J58"/>
    <mergeCell ref="D4:D5"/>
    <mergeCell ref="A8:A9"/>
    <mergeCell ref="F8:I8"/>
    <mergeCell ref="A21:A22"/>
    <mergeCell ref="F21:I21"/>
    <mergeCell ref="B8:C8"/>
    <mergeCell ref="D8:E8"/>
    <mergeCell ref="J8:J9"/>
    <mergeCell ref="K8:M8"/>
    <mergeCell ref="B21:C21"/>
    <mergeCell ref="D21:E21"/>
    <mergeCell ref="J21:J22"/>
    <mergeCell ref="K21:M21"/>
    <mergeCell ref="K30:M30"/>
    <mergeCell ref="D39:E39"/>
    <mergeCell ref="F39:I39"/>
    <mergeCell ref="J39:J40"/>
    <mergeCell ref="K39:M3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74"/>
  <sheetViews>
    <sheetView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36.140625" style="33" customWidth="1"/>
    <col min="2" max="2" width="11.140625" style="32" customWidth="1"/>
    <col min="3" max="3" width="10.00390625" style="32" customWidth="1"/>
    <col min="4" max="4" width="10.57421875" style="32" customWidth="1"/>
    <col min="5" max="5" width="9.57421875" style="32" customWidth="1"/>
    <col min="6" max="6" width="8.8515625" style="33" customWidth="1"/>
    <col min="7" max="7" width="8.00390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28125" style="33" customWidth="1"/>
    <col min="14" max="14" width="9.140625" style="33" hidden="1" customWidth="1"/>
    <col min="15" max="15" width="9.421875" style="34" hidden="1" customWidth="1"/>
    <col min="16" max="18" width="9.00390625" style="18" customWidth="1"/>
    <col min="19" max="20" width="9.00390625" style="33" customWidth="1"/>
    <col min="21" max="16384" width="9.140625" style="33" customWidth="1"/>
  </cols>
  <sheetData>
    <row r="1" spans="1:10" ht="12.75">
      <c r="A1" s="206">
        <f>IF(Installation!C15&gt;0,Installation!B8,"")</f>
      </c>
      <c r="B1" s="205">
        <f>Installation!B15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Installation!C15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Installation!E15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31.5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15.7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D67:E67"/>
    <mergeCell ref="F67:I67"/>
    <mergeCell ref="J67:J68"/>
    <mergeCell ref="K67:M67"/>
    <mergeCell ref="A67:A68"/>
    <mergeCell ref="B67:C67"/>
    <mergeCell ref="A57:A58"/>
    <mergeCell ref="B57:C57"/>
    <mergeCell ref="A30:A31"/>
    <mergeCell ref="B30:C30"/>
    <mergeCell ref="F30:I30"/>
    <mergeCell ref="K30:M30"/>
    <mergeCell ref="J39:J40"/>
    <mergeCell ref="K39:M39"/>
    <mergeCell ref="J30:J31"/>
    <mergeCell ref="D57:E57"/>
    <mergeCell ref="F57:I57"/>
    <mergeCell ref="J57:J58"/>
    <mergeCell ref="K57:M57"/>
    <mergeCell ref="D4:D5"/>
    <mergeCell ref="F21:I21"/>
    <mergeCell ref="B39:C39"/>
    <mergeCell ref="F8:I8"/>
    <mergeCell ref="D39:E39"/>
    <mergeCell ref="F39:I39"/>
    <mergeCell ref="D30:E30"/>
    <mergeCell ref="A8:A9"/>
    <mergeCell ref="B8:C8"/>
    <mergeCell ref="D8:E8"/>
    <mergeCell ref="B21:C21"/>
    <mergeCell ref="D21:E21"/>
    <mergeCell ref="A21:A22"/>
    <mergeCell ref="J8:J9"/>
    <mergeCell ref="K8:M8"/>
    <mergeCell ref="J21:J22"/>
    <mergeCell ref="K21:M21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7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36.57421875" style="33" customWidth="1"/>
    <col min="2" max="2" width="11.140625" style="32" customWidth="1"/>
    <col min="3" max="3" width="10.00390625" style="32" customWidth="1"/>
    <col min="4" max="4" width="10.7109375" style="32" customWidth="1"/>
    <col min="5" max="5" width="9.57421875" style="32" customWidth="1"/>
    <col min="6" max="6" width="8.8515625" style="33" customWidth="1"/>
    <col min="7" max="7" width="8.00390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28125" style="33" customWidth="1"/>
    <col min="14" max="14" width="9.140625" style="33" hidden="1" customWidth="1"/>
    <col min="15" max="15" width="9.421875" style="34" hidden="1" customWidth="1"/>
    <col min="16" max="18" width="9.00390625" style="18" customWidth="1"/>
    <col min="19" max="20" width="9.00390625" style="33" customWidth="1"/>
    <col min="21" max="16384" width="9.140625" style="33" customWidth="1"/>
  </cols>
  <sheetData>
    <row r="1" spans="1:10" ht="12.75">
      <c r="A1" s="206">
        <f>IF(Installation!C16&gt;0,Installation!B8,"")</f>
      </c>
      <c r="B1" s="205">
        <f>Installation!B16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Installation!C16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Installation!E16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31.5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15.7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D67:E67"/>
    <mergeCell ref="F67:I67"/>
    <mergeCell ref="J67:J68"/>
    <mergeCell ref="K67:M67"/>
    <mergeCell ref="A67:A68"/>
    <mergeCell ref="B67:C67"/>
    <mergeCell ref="A57:A58"/>
    <mergeCell ref="B57:C57"/>
    <mergeCell ref="A30:A31"/>
    <mergeCell ref="B30:C30"/>
    <mergeCell ref="F30:I30"/>
    <mergeCell ref="K30:M30"/>
    <mergeCell ref="J39:J40"/>
    <mergeCell ref="K39:M39"/>
    <mergeCell ref="J30:J31"/>
    <mergeCell ref="D57:E57"/>
    <mergeCell ref="F57:I57"/>
    <mergeCell ref="J57:J58"/>
    <mergeCell ref="K57:M57"/>
    <mergeCell ref="D4:D5"/>
    <mergeCell ref="F21:I21"/>
    <mergeCell ref="B39:C39"/>
    <mergeCell ref="F8:I8"/>
    <mergeCell ref="D39:E39"/>
    <mergeCell ref="F39:I39"/>
    <mergeCell ref="D30:E30"/>
    <mergeCell ref="A8:A9"/>
    <mergeCell ref="B8:C8"/>
    <mergeCell ref="D8:E8"/>
    <mergeCell ref="B21:C21"/>
    <mergeCell ref="D21:E21"/>
    <mergeCell ref="A21:A22"/>
    <mergeCell ref="J8:J9"/>
    <mergeCell ref="K8:M8"/>
    <mergeCell ref="J21:J22"/>
    <mergeCell ref="K21:M21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74"/>
  <sheetViews>
    <sheetView workbookViewId="0" topLeftCell="A1">
      <pane xSplit="1" ySplit="5" topLeftCell="B6" activePane="bottomRight" state="frozen"/>
      <selection pane="topLeft" activeCell="A43" sqref="A43:IV54"/>
      <selection pane="topRight" activeCell="A43" sqref="A43:IV54"/>
      <selection pane="bottomLeft" activeCell="A43" sqref="A43:IV54"/>
      <selection pane="bottomRight" activeCell="C1" sqref="C1"/>
    </sheetView>
  </sheetViews>
  <sheetFormatPr defaultColWidth="9.140625" defaultRowHeight="12.75"/>
  <cols>
    <col min="1" max="1" width="36.57421875" style="33" customWidth="1"/>
    <col min="2" max="2" width="11.140625" style="32" customWidth="1"/>
    <col min="3" max="3" width="10.00390625" style="32" customWidth="1"/>
    <col min="4" max="4" width="10.421875" style="32" customWidth="1"/>
    <col min="5" max="5" width="9.57421875" style="32" customWidth="1"/>
    <col min="6" max="6" width="8.8515625" style="33" customWidth="1"/>
    <col min="7" max="7" width="8.00390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28125" style="33" customWidth="1"/>
    <col min="14" max="14" width="9.140625" style="33" hidden="1" customWidth="1"/>
    <col min="15" max="15" width="9.421875" style="34" hidden="1" customWidth="1"/>
    <col min="16" max="18" width="9.00390625" style="18" customWidth="1"/>
    <col min="19" max="20" width="9.00390625" style="33" customWidth="1"/>
    <col min="21" max="16384" width="9.140625" style="33" customWidth="1"/>
  </cols>
  <sheetData>
    <row r="1" spans="1:10" ht="12.75">
      <c r="A1" s="206">
        <f>IF(Installation!C17&gt;0,Installation!B8,"")</f>
      </c>
      <c r="B1" s="205">
        <f>Installation!B17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Installation!C17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Installation!E17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31.5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15.7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D67:E67"/>
    <mergeCell ref="F67:I67"/>
    <mergeCell ref="J67:J68"/>
    <mergeCell ref="K67:M67"/>
    <mergeCell ref="A67:A68"/>
    <mergeCell ref="B67:C67"/>
    <mergeCell ref="A57:A58"/>
    <mergeCell ref="B57:C57"/>
    <mergeCell ref="A30:A31"/>
    <mergeCell ref="B30:C30"/>
    <mergeCell ref="F30:I30"/>
    <mergeCell ref="K30:M30"/>
    <mergeCell ref="J39:J40"/>
    <mergeCell ref="K39:M39"/>
    <mergeCell ref="J30:J31"/>
    <mergeCell ref="D57:E57"/>
    <mergeCell ref="F57:I57"/>
    <mergeCell ref="J57:J58"/>
    <mergeCell ref="K57:M57"/>
    <mergeCell ref="D4:D5"/>
    <mergeCell ref="F21:I21"/>
    <mergeCell ref="B39:C39"/>
    <mergeCell ref="F8:I8"/>
    <mergeCell ref="D39:E39"/>
    <mergeCell ref="F39:I39"/>
    <mergeCell ref="D30:E30"/>
    <mergeCell ref="A8:A9"/>
    <mergeCell ref="B8:C8"/>
    <mergeCell ref="D8:E8"/>
    <mergeCell ref="B21:C21"/>
    <mergeCell ref="D21:E21"/>
    <mergeCell ref="A21:A22"/>
    <mergeCell ref="J8:J9"/>
    <mergeCell ref="K8:M8"/>
    <mergeCell ref="J21:J22"/>
    <mergeCell ref="K21:M21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M32"/>
  <sheetViews>
    <sheetView workbookViewId="0" topLeftCell="A1">
      <selection activeCell="C29" sqref="C29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9.28125" style="207" customWidth="1"/>
    <col min="4" max="4" width="10.7109375" style="207" customWidth="1"/>
    <col min="5" max="5" width="12.421875" style="207" customWidth="1"/>
    <col min="6" max="6" width="15.421875" style="207" customWidth="1"/>
    <col min="7" max="7" width="7.8515625" style="207" customWidth="1"/>
    <col min="8" max="8" width="9.140625" style="162" customWidth="1"/>
    <col min="9" max="9" width="14.8515625" style="162" customWidth="1"/>
    <col min="10" max="10" width="1.421875" style="210" hidden="1" customWidth="1"/>
    <col min="11" max="11" width="18.7109375" style="210" customWidth="1"/>
    <col min="12" max="12" width="9.7109375" style="210" customWidth="1"/>
    <col min="13" max="13" width="5.421875" style="210" customWidth="1"/>
    <col min="14" max="17" width="5.421875" style="162" customWidth="1"/>
    <col min="18" max="18" width="6.00390625" style="162" customWidth="1"/>
    <col min="19" max="16384" width="9.140625" style="162" customWidth="1"/>
  </cols>
  <sheetData>
    <row r="1" spans="1:13" s="215" customFormat="1" ht="15.75" customHeight="1" thickBot="1">
      <c r="A1" s="216" t="s">
        <v>72</v>
      </c>
      <c r="B1" s="217">
        <f>Pays!B1</f>
        <v>0</v>
      </c>
      <c r="C1" s="322"/>
      <c r="D1" s="207"/>
      <c r="E1" s="319" t="s">
        <v>77</v>
      </c>
      <c r="F1" s="320"/>
      <c r="G1" s="207"/>
      <c r="H1" s="520" t="s">
        <v>79</v>
      </c>
      <c r="I1" s="355" t="s">
        <v>80</v>
      </c>
      <c r="J1" s="521"/>
      <c r="K1" s="492" t="s">
        <v>70</v>
      </c>
      <c r="L1" s="381"/>
      <c r="M1" s="381"/>
    </row>
    <row r="2" spans="1:13" ht="14.25" thickBot="1">
      <c r="A2" s="218" t="s">
        <v>36</v>
      </c>
      <c r="B2" s="217" t="s">
        <v>75</v>
      </c>
      <c r="C2" s="324"/>
      <c r="E2" s="326" t="s">
        <v>63</v>
      </c>
      <c r="F2" s="327">
        <v>1994.9999999587696</v>
      </c>
      <c r="H2" s="522">
        <v>1980</v>
      </c>
      <c r="I2" s="565"/>
      <c r="J2" s="340">
        <f>LogisticFit!C4</f>
      </c>
      <c r="K2" s="568"/>
      <c r="L2" s="383"/>
      <c r="M2" s="383"/>
    </row>
    <row r="3" spans="1:13" s="210" customFormat="1" ht="13.5">
      <c r="A3" s="218" t="s">
        <v>73</v>
      </c>
      <c r="B3" s="291" t="s">
        <v>75</v>
      </c>
      <c r="C3" s="325"/>
      <c r="D3" s="582" t="s">
        <v>76</v>
      </c>
      <c r="E3" s="311" t="s">
        <v>59</v>
      </c>
      <c r="F3" s="314">
        <v>0</v>
      </c>
      <c r="G3" s="211"/>
      <c r="H3" s="523">
        <f>1+H2</f>
        <v>1981</v>
      </c>
      <c r="I3" s="566"/>
      <c r="J3" s="383"/>
      <c r="K3" s="569"/>
      <c r="L3" s="383"/>
      <c r="M3" s="383"/>
    </row>
    <row r="4" spans="1:13" ht="14.25" thickBot="1">
      <c r="A4" s="218" t="s">
        <v>74</v>
      </c>
      <c r="B4" s="291" t="str">
        <f>IF(F6&lt;&gt;0,"Logistique double","Logistique simple")</f>
        <v>Logistique simple</v>
      </c>
      <c r="C4" s="210"/>
      <c r="D4" s="582"/>
      <c r="E4" s="318" t="s">
        <v>60</v>
      </c>
      <c r="F4" s="321">
        <v>0</v>
      </c>
      <c r="H4" s="523">
        <f>1+H3</f>
        <v>1982</v>
      </c>
      <c r="I4" s="566"/>
      <c r="J4" s="383"/>
      <c r="K4" s="569"/>
      <c r="L4" s="383"/>
      <c r="M4" s="383"/>
    </row>
    <row r="5" spans="2:13" ht="13.5">
      <c r="B5" s="376"/>
      <c r="C5" s="210"/>
      <c r="D5" s="583" t="s">
        <v>78</v>
      </c>
      <c r="E5" s="312" t="s">
        <v>61</v>
      </c>
      <c r="F5" s="315">
        <v>0</v>
      </c>
      <c r="G5" s="162"/>
      <c r="H5" s="523">
        <f>1+H4</f>
        <v>1983</v>
      </c>
      <c r="I5" s="566"/>
      <c r="J5" s="383"/>
      <c r="K5" s="569"/>
      <c r="L5" s="383"/>
      <c r="M5" s="383"/>
    </row>
    <row r="6" spans="1:13" ht="14.25" thickBot="1">
      <c r="A6" s="162"/>
      <c r="C6" s="210"/>
      <c r="D6" s="583"/>
      <c r="E6" s="318" t="s">
        <v>62</v>
      </c>
      <c r="F6" s="321">
        <v>0</v>
      </c>
      <c r="G6" s="162"/>
      <c r="H6" s="523">
        <f aca="true" t="shared" si="0" ref="H6:H18">1+H5</f>
        <v>1984</v>
      </c>
      <c r="I6" s="566"/>
      <c r="J6" s="383"/>
      <c r="K6" s="569"/>
      <c r="L6" s="383"/>
      <c r="M6" s="383"/>
    </row>
    <row r="7" spans="1:13" ht="14.25" thickBot="1">
      <c r="A7" s="162"/>
      <c r="C7" s="210"/>
      <c r="D7" s="162"/>
      <c r="E7" s="313" t="s">
        <v>33</v>
      </c>
      <c r="F7" s="564">
        <f>SUM(LogisticFit!D4:D29)</f>
        <v>0</v>
      </c>
      <c r="G7" s="162"/>
      <c r="H7" s="523">
        <f t="shared" si="0"/>
        <v>1985</v>
      </c>
      <c r="I7" s="566"/>
      <c r="J7" s="383"/>
      <c r="K7" s="569"/>
      <c r="L7" s="383"/>
      <c r="M7" s="383"/>
    </row>
    <row r="8" spans="1:13" ht="12.75">
      <c r="A8" s="162"/>
      <c r="C8" s="162"/>
      <c r="D8" s="162"/>
      <c r="E8" s="162"/>
      <c r="F8" s="162"/>
      <c r="G8" s="162"/>
      <c r="H8" s="523">
        <f t="shared" si="0"/>
        <v>1986</v>
      </c>
      <c r="I8" s="566"/>
      <c r="J8" s="383"/>
      <c r="K8" s="569"/>
      <c r="L8" s="383"/>
      <c r="M8" s="383"/>
    </row>
    <row r="9" spans="1:13" ht="12.75">
      <c r="A9" s="162"/>
      <c r="C9" s="162"/>
      <c r="D9" s="162"/>
      <c r="E9" s="162"/>
      <c r="F9" s="162"/>
      <c r="G9" s="162"/>
      <c r="H9" s="523">
        <f t="shared" si="0"/>
        <v>1987</v>
      </c>
      <c r="I9" s="566"/>
      <c r="J9" s="383"/>
      <c r="K9" s="569"/>
      <c r="L9" s="383"/>
      <c r="M9" s="383"/>
    </row>
    <row r="10" spans="1:13" ht="12.75">
      <c r="A10" s="162"/>
      <c r="C10" s="162"/>
      <c r="D10" s="162"/>
      <c r="E10" s="162"/>
      <c r="F10" s="162"/>
      <c r="G10" s="162"/>
      <c r="H10" s="523">
        <f t="shared" si="0"/>
        <v>1988</v>
      </c>
      <c r="I10" s="566"/>
      <c r="J10" s="383"/>
      <c r="K10" s="569"/>
      <c r="L10" s="383"/>
      <c r="M10" s="383"/>
    </row>
    <row r="11" spans="1:13" ht="12.75">
      <c r="A11" s="162"/>
      <c r="C11" s="162"/>
      <c r="D11" s="162"/>
      <c r="E11" s="162"/>
      <c r="F11" s="162"/>
      <c r="G11" s="162"/>
      <c r="H11" s="523">
        <f t="shared" si="0"/>
        <v>1989</v>
      </c>
      <c r="I11" s="566"/>
      <c r="J11" s="383"/>
      <c r="K11" s="569"/>
      <c r="L11" s="383"/>
      <c r="M11" s="383"/>
    </row>
    <row r="12" spans="1:13" ht="12.75">
      <c r="A12" s="162"/>
      <c r="C12" s="162"/>
      <c r="D12" s="162"/>
      <c r="E12" s="162"/>
      <c r="F12" s="162"/>
      <c r="G12" s="162"/>
      <c r="H12" s="523">
        <f t="shared" si="0"/>
        <v>1990</v>
      </c>
      <c r="I12" s="566"/>
      <c r="J12" s="383"/>
      <c r="K12" s="569"/>
      <c r="L12" s="383"/>
      <c r="M12" s="383"/>
    </row>
    <row r="13" spans="1:13" ht="12.75">
      <c r="A13" s="162"/>
      <c r="C13" s="162"/>
      <c r="D13" s="162"/>
      <c r="E13" s="162"/>
      <c r="F13" s="162"/>
      <c r="G13" s="162"/>
      <c r="H13" s="523">
        <f t="shared" si="0"/>
        <v>1991</v>
      </c>
      <c r="I13" s="566"/>
      <c r="J13" s="383"/>
      <c r="K13" s="569"/>
      <c r="L13" s="383"/>
      <c r="M13" s="383"/>
    </row>
    <row r="14" spans="1:13" ht="12.75">
      <c r="A14" s="162"/>
      <c r="C14" s="162"/>
      <c r="D14" s="162"/>
      <c r="E14" s="162"/>
      <c r="F14" s="162"/>
      <c r="G14" s="162"/>
      <c r="H14" s="523">
        <f t="shared" si="0"/>
        <v>1992</v>
      </c>
      <c r="I14" s="566"/>
      <c r="J14" s="383"/>
      <c r="K14" s="569"/>
      <c r="L14" s="383"/>
      <c r="M14" s="383"/>
    </row>
    <row r="15" spans="1:13" ht="12.75">
      <c r="A15" s="162"/>
      <c r="C15" s="162"/>
      <c r="D15" s="162"/>
      <c r="E15" s="162"/>
      <c r="F15" s="162"/>
      <c r="G15" s="162"/>
      <c r="H15" s="523">
        <f t="shared" si="0"/>
        <v>1993</v>
      </c>
      <c r="I15" s="566"/>
      <c r="J15" s="383"/>
      <c r="K15" s="569"/>
      <c r="L15" s="383"/>
      <c r="M15" s="383"/>
    </row>
    <row r="16" spans="1:13" ht="12.75">
      <c r="A16" s="162"/>
      <c r="C16" s="162"/>
      <c r="D16" s="162"/>
      <c r="E16" s="162"/>
      <c r="F16" s="162"/>
      <c r="G16" s="162"/>
      <c r="H16" s="523">
        <f t="shared" si="0"/>
        <v>1994</v>
      </c>
      <c r="I16" s="566"/>
      <c r="J16" s="383"/>
      <c r="K16" s="569"/>
      <c r="L16" s="383"/>
      <c r="M16" s="383"/>
    </row>
    <row r="17" spans="1:13" ht="12.75">
      <c r="A17" s="162"/>
      <c r="C17" s="162"/>
      <c r="D17" s="162"/>
      <c r="E17" s="162"/>
      <c r="F17" s="162"/>
      <c r="G17" s="162"/>
      <c r="H17" s="523">
        <f t="shared" si="0"/>
        <v>1995</v>
      </c>
      <c r="I17" s="566"/>
      <c r="J17" s="383"/>
      <c r="K17" s="569"/>
      <c r="L17" s="383"/>
      <c r="M17" s="383"/>
    </row>
    <row r="18" spans="1:13" ht="12.75">
      <c r="A18" s="162"/>
      <c r="C18" s="162"/>
      <c r="D18" s="162"/>
      <c r="E18" s="162"/>
      <c r="F18" s="162"/>
      <c r="G18" s="162"/>
      <c r="H18" s="523">
        <f t="shared" si="0"/>
        <v>1996</v>
      </c>
      <c r="I18" s="566"/>
      <c r="J18" s="383"/>
      <c r="K18" s="569"/>
      <c r="L18" s="383"/>
      <c r="M18" s="383"/>
    </row>
    <row r="19" spans="1:13" ht="12.75">
      <c r="A19" s="162"/>
      <c r="C19" s="162"/>
      <c r="D19" s="162"/>
      <c r="E19" s="162"/>
      <c r="F19" s="162"/>
      <c r="G19" s="162"/>
      <c r="H19" s="523">
        <v>1997</v>
      </c>
      <c r="I19" s="566"/>
      <c r="J19" s="383"/>
      <c r="K19" s="569"/>
      <c r="L19" s="383"/>
      <c r="M19" s="383"/>
    </row>
    <row r="20" spans="1:13" ht="12.75">
      <c r="A20" s="162"/>
      <c r="C20" s="162"/>
      <c r="D20" s="162"/>
      <c r="E20" s="162"/>
      <c r="F20" s="162"/>
      <c r="G20" s="162"/>
      <c r="H20" s="523">
        <v>1998</v>
      </c>
      <c r="I20" s="566"/>
      <c r="J20" s="383"/>
      <c r="K20" s="569"/>
      <c r="L20" s="383"/>
      <c r="M20" s="383"/>
    </row>
    <row r="21" spans="1:13" ht="12.75">
      <c r="A21" s="162"/>
      <c r="C21" s="162"/>
      <c r="D21" s="162"/>
      <c r="E21" s="162"/>
      <c r="F21" s="162"/>
      <c r="G21" s="162"/>
      <c r="H21" s="523">
        <v>1999</v>
      </c>
      <c r="I21" s="566"/>
      <c r="J21" s="383"/>
      <c r="K21" s="569"/>
      <c r="L21" s="383"/>
      <c r="M21" s="383"/>
    </row>
    <row r="22" spans="1:13" ht="12.75">
      <c r="A22" s="162"/>
      <c r="C22" s="162"/>
      <c r="D22" s="162"/>
      <c r="E22" s="162"/>
      <c r="F22" s="162"/>
      <c r="G22" s="162"/>
      <c r="H22" s="523">
        <v>2000</v>
      </c>
      <c r="I22" s="566"/>
      <c r="J22" s="383"/>
      <c r="K22" s="569"/>
      <c r="L22" s="383"/>
      <c r="M22" s="383"/>
    </row>
    <row r="23" spans="1:13" ht="12.75">
      <c r="A23" s="162"/>
      <c r="C23" s="162"/>
      <c r="D23" s="162"/>
      <c r="E23" s="162"/>
      <c r="F23" s="162"/>
      <c r="G23" s="162"/>
      <c r="H23" s="523">
        <v>2001</v>
      </c>
      <c r="I23" s="566"/>
      <c r="J23" s="383"/>
      <c r="K23" s="569"/>
      <c r="L23" s="383"/>
      <c r="M23" s="383"/>
    </row>
    <row r="24" spans="1:13" ht="12.75">
      <c r="A24" s="162"/>
      <c r="C24" s="162"/>
      <c r="D24" s="162"/>
      <c r="E24" s="162"/>
      <c r="F24" s="162"/>
      <c r="G24" s="162"/>
      <c r="H24" s="523">
        <v>2002</v>
      </c>
      <c r="I24" s="566"/>
      <c r="J24" s="383"/>
      <c r="K24" s="569"/>
      <c r="L24" s="383"/>
      <c r="M24" s="383"/>
    </row>
    <row r="25" spans="1:13" ht="12.75">
      <c r="A25" s="162"/>
      <c r="C25" s="162"/>
      <c r="D25" s="162"/>
      <c r="E25" s="162"/>
      <c r="F25" s="162"/>
      <c r="G25" s="162"/>
      <c r="H25" s="523">
        <v>2003</v>
      </c>
      <c r="I25" s="566"/>
      <c r="J25" s="383"/>
      <c r="K25" s="569"/>
      <c r="L25" s="383"/>
      <c r="M25" s="383"/>
    </row>
    <row r="26" spans="1:13" ht="12.75">
      <c r="A26" s="162"/>
      <c r="C26" s="162"/>
      <c r="D26" s="162"/>
      <c r="E26" s="162"/>
      <c r="F26" s="162"/>
      <c r="G26" s="162"/>
      <c r="H26" s="523">
        <v>2004</v>
      </c>
      <c r="I26" s="566"/>
      <c r="J26" s="383"/>
      <c r="K26" s="569"/>
      <c r="L26" s="383"/>
      <c r="M26" s="383"/>
    </row>
    <row r="27" spans="1:13" ht="12.75">
      <c r="A27" s="162"/>
      <c r="C27" s="162"/>
      <c r="D27" s="162"/>
      <c r="E27" s="162"/>
      <c r="F27" s="162"/>
      <c r="G27" s="162"/>
      <c r="H27" s="524">
        <v>2005</v>
      </c>
      <c r="I27" s="575"/>
      <c r="J27" s="384"/>
      <c r="K27" s="570"/>
      <c r="L27" s="384"/>
      <c r="M27" s="384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13" ht="12.75">
      <c r="A30" s="162"/>
      <c r="C30" s="162"/>
      <c r="D30" s="162"/>
      <c r="E30" s="162"/>
      <c r="F30" s="162"/>
      <c r="G30" s="162"/>
      <c r="I30" s="208"/>
      <c r="J30" s="385"/>
      <c r="K30" s="385"/>
      <c r="L30" s="385"/>
      <c r="M30" s="385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sheetProtection/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80" r:id="rId2"/>
  <headerFooter alignWithMargins="0">
    <oddHeader>&amp;L&amp;F
&amp;D  &amp;T&amp;C&amp;A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"/>
  <dimension ref="A1:U74"/>
  <sheetViews>
    <sheetView workbookViewId="0" topLeftCell="A1">
      <pane xSplit="1" ySplit="5" topLeftCell="B6" activePane="bottomRight" state="frozen"/>
      <selection pane="topLeft" activeCell="A43" sqref="A43:IV54"/>
      <selection pane="topRight" activeCell="A43" sqref="A43:IV54"/>
      <selection pane="bottomLeft" activeCell="A43" sqref="A43:IV54"/>
      <selection pane="bottomRight" activeCell="C1" sqref="C1"/>
    </sheetView>
  </sheetViews>
  <sheetFormatPr defaultColWidth="9.140625" defaultRowHeight="12.75"/>
  <cols>
    <col min="1" max="1" width="36.28125" style="33" customWidth="1"/>
    <col min="2" max="2" width="11.140625" style="32" customWidth="1"/>
    <col min="3" max="3" width="10.00390625" style="32" customWidth="1"/>
    <col min="4" max="4" width="11.28125" style="32" customWidth="1"/>
    <col min="5" max="5" width="9.57421875" style="32" customWidth="1"/>
    <col min="6" max="6" width="8.8515625" style="33" customWidth="1"/>
    <col min="7" max="7" width="8.00390625" style="33" customWidth="1"/>
    <col min="8" max="9" width="9.140625" style="33" customWidth="1"/>
    <col min="10" max="11" width="9.421875" style="33" customWidth="1"/>
    <col min="12" max="12" width="10.57421875" style="33" customWidth="1"/>
    <col min="13" max="13" width="8.28125" style="33" customWidth="1"/>
    <col min="14" max="14" width="9.140625" style="33" hidden="1" customWidth="1"/>
    <col min="15" max="15" width="9.421875" style="34" hidden="1" customWidth="1"/>
    <col min="16" max="18" width="9.00390625" style="18" customWidth="1"/>
    <col min="19" max="20" width="9.00390625" style="33" customWidth="1"/>
    <col min="21" max="16384" width="9.140625" style="33" customWidth="1"/>
  </cols>
  <sheetData>
    <row r="1" spans="1:10" ht="12.75">
      <c r="A1" s="206">
        <f>IF(Installation!C18&gt;0,Installation!B8,"")</f>
      </c>
      <c r="B1" s="205">
        <f>Installation!B18</f>
        <v>0</v>
      </c>
      <c r="C1" s="204"/>
      <c r="D1" s="135" t="str">
        <f>IF(E4="",IF(E5="","Choisir UNE méthode pour calculer populations à risque moindre (PLR).",""),"")</f>
        <v>Choisir UNE méthode pour calculer populations à risque moindre (PLR).</v>
      </c>
      <c r="E1" s="204"/>
      <c r="F1" s="163"/>
      <c r="G1" s="163"/>
      <c r="H1" s="163"/>
      <c r="I1" s="163"/>
      <c r="J1" s="18"/>
    </row>
    <row r="2" spans="1:4" ht="12.75" customHeight="1">
      <c r="A2" s="158" t="s">
        <v>217</v>
      </c>
      <c r="B2" s="202">
        <f>Installation!C18</f>
        <v>0</v>
      </c>
      <c r="C2" s="167"/>
      <c r="D2" s="452">
        <f>IF(E4&lt;&gt;"",IF(E5&lt;&gt;"","Choisir qu'UNE methode!",""),"")</f>
      </c>
    </row>
    <row r="3" spans="1:9" ht="13.5" customHeight="1">
      <c r="A3" s="159" t="s">
        <v>154</v>
      </c>
      <c r="B3" s="203">
        <f>Installation!E18</f>
        <v>0</v>
      </c>
      <c r="C3" s="168"/>
      <c r="D3" s="98" t="s">
        <v>239</v>
      </c>
      <c r="E3" s="63"/>
      <c r="F3" s="99"/>
      <c r="G3" s="63"/>
      <c r="H3" s="64"/>
      <c r="I3" s="65"/>
    </row>
    <row r="4" spans="1:12" ht="13.5" customHeight="1">
      <c r="A4" s="158" t="s">
        <v>155</v>
      </c>
      <c r="B4" s="47">
        <f>B2*B3</f>
        <v>0</v>
      </c>
      <c r="C4" s="169"/>
      <c r="D4" s="600" t="s">
        <v>285</v>
      </c>
      <c r="E4" s="100"/>
      <c r="F4" s="101" t="s">
        <v>286</v>
      </c>
      <c r="G4" s="70"/>
      <c r="H4" s="71"/>
      <c r="I4" s="70"/>
      <c r="L4" s="90"/>
    </row>
    <row r="5" spans="1:12" ht="12.75" customHeight="1">
      <c r="A5" s="161" t="s">
        <v>79</v>
      </c>
      <c r="B5" s="201">
        <f>Installation!B3</f>
        <v>0</v>
      </c>
      <c r="C5" s="55"/>
      <c r="D5" s="601"/>
      <c r="E5" s="102"/>
      <c r="F5" s="103" t="s">
        <v>245</v>
      </c>
      <c r="G5" s="72"/>
      <c r="H5" s="73"/>
      <c r="I5" s="72"/>
      <c r="L5" s="90"/>
    </row>
    <row r="6" spans="1:15" s="18" customFormat="1" ht="10.5" customHeight="1">
      <c r="A6" s="25"/>
      <c r="B6" s="55"/>
      <c r="C6" s="55"/>
      <c r="D6" s="17"/>
      <c r="E6" s="17"/>
      <c r="O6" s="19"/>
    </row>
    <row r="7" spans="1:17" s="18" customFormat="1" ht="12.75" customHeight="1">
      <c r="A7" s="146" t="s">
        <v>298</v>
      </c>
      <c r="B7" s="58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Q7" s="19"/>
    </row>
    <row r="8" spans="1:18" ht="22.5" customHeight="1">
      <c r="A8" s="600" t="s">
        <v>156</v>
      </c>
      <c r="B8" s="597" t="s">
        <v>229</v>
      </c>
      <c r="C8" s="599"/>
      <c r="D8" s="597" t="s">
        <v>230</v>
      </c>
      <c r="E8" s="599"/>
      <c r="F8" s="607" t="s">
        <v>219</v>
      </c>
      <c r="G8" s="608"/>
      <c r="H8" s="608"/>
      <c r="I8" s="609"/>
      <c r="J8" s="600" t="s">
        <v>199</v>
      </c>
      <c r="K8" s="597" t="s">
        <v>287</v>
      </c>
      <c r="L8" s="598"/>
      <c r="M8" s="599"/>
      <c r="O8" s="33"/>
      <c r="R8" s="33"/>
    </row>
    <row r="9" spans="1:18" ht="49.5" customHeight="1">
      <c r="A9" s="601"/>
      <c r="B9" s="16" t="s">
        <v>231</v>
      </c>
      <c r="C9" s="16" t="s">
        <v>232</v>
      </c>
      <c r="D9" s="16" t="s">
        <v>172</v>
      </c>
      <c r="E9" s="16" t="s">
        <v>179</v>
      </c>
      <c r="F9" s="16" t="s">
        <v>233</v>
      </c>
      <c r="G9" s="16" t="s">
        <v>235</v>
      </c>
      <c r="H9" s="16" t="s">
        <v>234</v>
      </c>
      <c r="I9" s="16" t="s">
        <v>236</v>
      </c>
      <c r="J9" s="601"/>
      <c r="K9" s="16" t="s">
        <v>203</v>
      </c>
      <c r="L9" s="16" t="s">
        <v>201</v>
      </c>
      <c r="M9" s="16" t="s">
        <v>246</v>
      </c>
      <c r="N9" s="33" t="s">
        <v>18</v>
      </c>
      <c r="O9" s="33" t="s">
        <v>19</v>
      </c>
      <c r="R9" s="33"/>
    </row>
    <row r="10" spans="1:18" ht="10.5">
      <c r="A10" s="118" t="str">
        <f>Installation!A26</f>
        <v>CDI</v>
      </c>
      <c r="B10" s="8"/>
      <c r="C10" s="9"/>
      <c r="D10" s="3"/>
      <c r="E10" s="3"/>
      <c r="F10" s="7">
        <f aca="true" t="shared" si="0" ref="F10:F17">B10*D10</f>
        <v>0</v>
      </c>
      <c r="G10" s="7">
        <f aca="true" t="shared" si="1" ref="G10:G17">B10*(E10)</f>
        <v>0</v>
      </c>
      <c r="H10" s="7">
        <f aca="true" t="shared" si="2" ref="H10:H17">C10*(D10)</f>
        <v>0</v>
      </c>
      <c r="I10" s="7">
        <f aca="true" t="shared" si="3" ref="I10:I17">C10*(E10)</f>
        <v>0</v>
      </c>
      <c r="J10" s="142">
        <f aca="true" t="shared" si="4" ref="J10:J17">AVERAGE(F10:I10)</f>
        <v>0</v>
      </c>
      <c r="K10" s="43"/>
      <c r="L10" s="7">
        <f aca="true" t="shared" si="5" ref="L10:L17">K10*J10</f>
        <v>0</v>
      </c>
      <c r="M10" s="140"/>
      <c r="N10" s="44">
        <f aca="true" t="shared" si="6" ref="N10:N17">B10*K10</f>
        <v>0</v>
      </c>
      <c r="O10" s="44">
        <f aca="true" t="shared" si="7" ref="O10:O17">C10*K10</f>
        <v>0</v>
      </c>
      <c r="R10" s="33"/>
    </row>
    <row r="11" spans="1:18" ht="10.5">
      <c r="A11" s="118" t="str">
        <f>Installation!A27</f>
        <v>HSH</v>
      </c>
      <c r="B11" s="8"/>
      <c r="C11" s="9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142">
        <f t="shared" si="4"/>
        <v>0</v>
      </c>
      <c r="K11" s="21">
        <v>0</v>
      </c>
      <c r="L11" s="7">
        <f t="shared" si="5"/>
        <v>0</v>
      </c>
      <c r="M11" s="140"/>
      <c r="N11" s="44">
        <f t="shared" si="6"/>
        <v>0</v>
      </c>
      <c r="O11" s="44">
        <f t="shared" si="7"/>
        <v>0</v>
      </c>
      <c r="R11" s="33"/>
    </row>
    <row r="12" spans="1:18" ht="10.5">
      <c r="A12" s="118" t="str">
        <f>Installation!A28</f>
        <v>Professionnelles du sexe (PS)</v>
      </c>
      <c r="B12" s="8"/>
      <c r="C12" s="9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142">
        <f t="shared" si="4"/>
        <v>0</v>
      </c>
      <c r="K12" s="21">
        <v>1</v>
      </c>
      <c r="L12" s="7">
        <f t="shared" si="5"/>
        <v>0</v>
      </c>
      <c r="M12" s="140"/>
      <c r="N12" s="44">
        <f t="shared" si="6"/>
        <v>0</v>
      </c>
      <c r="O12" s="44">
        <f t="shared" si="7"/>
        <v>0</v>
      </c>
      <c r="R12" s="33"/>
    </row>
    <row r="13" spans="1:18" ht="10.5">
      <c r="A13" s="118" t="str">
        <f>Installation!A29</f>
        <v>Clients des professionnelles du sexe</v>
      </c>
      <c r="B13" s="8"/>
      <c r="C13" s="9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142">
        <f t="shared" si="4"/>
        <v>0</v>
      </c>
      <c r="K13" s="21">
        <v>0</v>
      </c>
      <c r="L13" s="7">
        <f t="shared" si="5"/>
        <v>0</v>
      </c>
      <c r="M13" s="140"/>
      <c r="N13" s="44">
        <f t="shared" si="6"/>
        <v>0</v>
      </c>
      <c r="O13" s="44">
        <f t="shared" si="7"/>
        <v>0</v>
      </c>
      <c r="R13" s="33"/>
    </row>
    <row r="14" spans="1:18" ht="10.5">
      <c r="A14" s="118" t="str">
        <f>Installation!C26</f>
        <v>Facultatif HR1</v>
      </c>
      <c r="B14" s="8"/>
      <c r="C14" s="10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142">
        <f t="shared" si="4"/>
        <v>0</v>
      </c>
      <c r="K14" s="43"/>
      <c r="L14" s="7">
        <f t="shared" si="5"/>
        <v>0</v>
      </c>
      <c r="M14" s="140"/>
      <c r="N14" s="44">
        <f t="shared" si="6"/>
        <v>0</v>
      </c>
      <c r="O14" s="44">
        <f t="shared" si="7"/>
        <v>0</v>
      </c>
      <c r="R14" s="33"/>
    </row>
    <row r="15" spans="1:18" ht="10.5">
      <c r="A15" s="118" t="str">
        <f>Installation!C27</f>
        <v>Facultatif HR2</v>
      </c>
      <c r="B15" s="8"/>
      <c r="C15" s="10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142">
        <f t="shared" si="4"/>
        <v>0</v>
      </c>
      <c r="K15" s="43"/>
      <c r="L15" s="7">
        <f t="shared" si="5"/>
        <v>0</v>
      </c>
      <c r="M15" s="140"/>
      <c r="N15" s="44">
        <f t="shared" si="6"/>
        <v>0</v>
      </c>
      <c r="O15" s="44">
        <f t="shared" si="7"/>
        <v>0</v>
      </c>
      <c r="R15" s="33"/>
    </row>
    <row r="16" spans="1:15" ht="10.5">
      <c r="A16" s="118" t="str">
        <f>Installation!C28</f>
        <v>Facultatif HR3</v>
      </c>
      <c r="B16" s="8"/>
      <c r="C16" s="10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142">
        <f t="shared" si="4"/>
        <v>0</v>
      </c>
      <c r="K16" s="43"/>
      <c r="L16" s="7">
        <f t="shared" si="5"/>
        <v>0</v>
      </c>
      <c r="M16" s="140"/>
      <c r="N16" s="44">
        <f t="shared" si="6"/>
        <v>0</v>
      </c>
      <c r="O16" s="44">
        <f t="shared" si="7"/>
        <v>0</v>
      </c>
    </row>
    <row r="17" spans="1:15" ht="11.25" thickBot="1">
      <c r="A17" s="147" t="str">
        <f>Installation!C29</f>
        <v>Facultatif HR4</v>
      </c>
      <c r="B17" s="49"/>
      <c r="C17" s="50"/>
      <c r="D17" s="51"/>
      <c r="E17" s="51"/>
      <c r="F17" s="52">
        <f t="shared" si="0"/>
        <v>0</v>
      </c>
      <c r="G17" s="52">
        <f t="shared" si="1"/>
        <v>0</v>
      </c>
      <c r="H17" s="52">
        <f t="shared" si="2"/>
        <v>0</v>
      </c>
      <c r="I17" s="52">
        <f t="shared" si="3"/>
        <v>0</v>
      </c>
      <c r="J17" s="143">
        <f t="shared" si="4"/>
        <v>0</v>
      </c>
      <c r="K17" s="53"/>
      <c r="L17" s="52">
        <f t="shared" si="5"/>
        <v>0</v>
      </c>
      <c r="M17" s="141"/>
      <c r="N17" s="44">
        <f t="shared" si="6"/>
        <v>0</v>
      </c>
      <c r="O17" s="44">
        <f t="shared" si="7"/>
        <v>0</v>
      </c>
    </row>
    <row r="18" spans="1:15" ht="11.25" thickBot="1">
      <c r="A18" s="173" t="s">
        <v>300</v>
      </c>
      <c r="B18" s="434">
        <f>SUM(B10:B17)</f>
        <v>0</v>
      </c>
      <c r="C18" s="434">
        <f>SUM(C10:C17)</f>
        <v>0</v>
      </c>
      <c r="D18" s="183"/>
      <c r="E18" s="183"/>
      <c r="F18" s="184"/>
      <c r="G18" s="184"/>
      <c r="H18" s="184"/>
      <c r="I18" s="184"/>
      <c r="J18" s="435">
        <f>SUM(J10:J17)</f>
        <v>0</v>
      </c>
      <c r="K18" s="436"/>
      <c r="L18" s="437">
        <f>SUM(L10:L17)</f>
        <v>0</v>
      </c>
      <c r="M18" s="438">
        <f>IF(L18&gt;0,L18/J18,"")</f>
      </c>
      <c r="N18" s="44">
        <f>SUM(N10:N17)</f>
        <v>0</v>
      </c>
      <c r="O18" s="44">
        <f>SUM(O10:O17)</f>
        <v>0</v>
      </c>
    </row>
    <row r="19" spans="1:19" s="18" customFormat="1" ht="10.5">
      <c r="A19" s="88"/>
      <c r="B19" s="54"/>
      <c r="C19" s="54"/>
      <c r="D19" s="54"/>
      <c r="E19" s="54"/>
      <c r="F19" s="25"/>
      <c r="G19" s="25"/>
      <c r="H19" s="25"/>
      <c r="I19" s="25"/>
      <c r="J19" s="13"/>
      <c r="K19" s="13"/>
      <c r="L19" s="13"/>
      <c r="M19" s="13"/>
      <c r="N19" s="61"/>
      <c r="O19" s="26"/>
      <c r="P19" s="13"/>
      <c r="Q19" s="35"/>
      <c r="R19" s="45"/>
      <c r="S19" s="45"/>
    </row>
    <row r="20" spans="1:17" s="18" customFormat="1" ht="12.75" customHeight="1">
      <c r="A20" s="146" t="s">
        <v>299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Q20" s="19"/>
    </row>
    <row r="21" spans="1:21" s="18" customFormat="1" ht="24" customHeight="1">
      <c r="A21" s="600" t="s">
        <v>177</v>
      </c>
      <c r="B21" s="597" t="s">
        <v>229</v>
      </c>
      <c r="C21" s="599"/>
      <c r="D21" s="597" t="s">
        <v>230</v>
      </c>
      <c r="E21" s="599"/>
      <c r="F21" s="607" t="s">
        <v>219</v>
      </c>
      <c r="G21" s="608"/>
      <c r="H21" s="608"/>
      <c r="I21" s="609"/>
      <c r="J21" s="600" t="s">
        <v>199</v>
      </c>
      <c r="K21" s="597" t="s">
        <v>287</v>
      </c>
      <c r="L21" s="598"/>
      <c r="M21" s="599"/>
      <c r="U21" s="19"/>
    </row>
    <row r="22" spans="1:15" s="18" customFormat="1" ht="48.75" customHeight="1">
      <c r="A22" s="601"/>
      <c r="B22" s="16" t="s">
        <v>231</v>
      </c>
      <c r="C22" s="16" t="s">
        <v>232</v>
      </c>
      <c r="D22" s="16" t="s">
        <v>172</v>
      </c>
      <c r="E22" s="16" t="s">
        <v>179</v>
      </c>
      <c r="F22" s="16" t="s">
        <v>233</v>
      </c>
      <c r="G22" s="16" t="s">
        <v>235</v>
      </c>
      <c r="H22" s="16" t="s">
        <v>234</v>
      </c>
      <c r="I22" s="16" t="s">
        <v>236</v>
      </c>
      <c r="J22" s="601"/>
      <c r="K22" s="16" t="s">
        <v>203</v>
      </c>
      <c r="L22" s="16" t="s">
        <v>201</v>
      </c>
      <c r="M22" s="16" t="s">
        <v>246</v>
      </c>
      <c r="N22" s="33" t="s">
        <v>18</v>
      </c>
      <c r="O22" s="33" t="s">
        <v>19</v>
      </c>
    </row>
    <row r="23" spans="1:15" s="18" customFormat="1" ht="12" customHeight="1">
      <c r="A23" s="118" t="str">
        <f>Installation!A33</f>
        <v>Partenaires CDI</v>
      </c>
      <c r="B23" s="8"/>
      <c r="C23" s="8"/>
      <c r="D23" s="3"/>
      <c r="E23" s="3"/>
      <c r="F23" s="7">
        <f>B23*(D23)</f>
        <v>0</v>
      </c>
      <c r="G23" s="7">
        <f aca="true" t="shared" si="8" ref="G23:G28">B23*(E23)</f>
        <v>0</v>
      </c>
      <c r="H23" s="7">
        <f aca="true" t="shared" si="9" ref="H23:H28">C23*(D23)</f>
        <v>0</v>
      </c>
      <c r="I23" s="7">
        <f aca="true" t="shared" si="10" ref="I23:I28">C23*(E23)</f>
        <v>0</v>
      </c>
      <c r="J23" s="142">
        <f aca="true" t="shared" si="11" ref="J23:J28">AVERAGE(F23:I23)</f>
        <v>0</v>
      </c>
      <c r="K23" s="46"/>
      <c r="L23" s="7">
        <f aca="true" t="shared" si="12" ref="L23:L28">K23*J23</f>
        <v>0</v>
      </c>
      <c r="M23" s="80"/>
      <c r="N23" s="44">
        <f aca="true" t="shared" si="13" ref="N23:N28">B23*K23</f>
        <v>0</v>
      </c>
      <c r="O23" s="44">
        <f aca="true" t="shared" si="14" ref="O23:O28">C23*K23</f>
        <v>0</v>
      </c>
    </row>
    <row r="24" spans="1:18" ht="12.75" customHeight="1">
      <c r="A24" s="118" t="str">
        <f>Installation!A34</f>
        <v>Partenaires sexuelles HSH</v>
      </c>
      <c r="B24" s="8"/>
      <c r="C24" s="8"/>
      <c r="D24" s="3"/>
      <c r="E24" s="3"/>
      <c r="F24" s="7">
        <f>B24*D24</f>
        <v>0</v>
      </c>
      <c r="G24" s="7">
        <f t="shared" si="8"/>
        <v>0</v>
      </c>
      <c r="H24" s="7">
        <f t="shared" si="9"/>
        <v>0</v>
      </c>
      <c r="I24" s="7">
        <f t="shared" si="10"/>
        <v>0</v>
      </c>
      <c r="J24" s="142">
        <f t="shared" si="11"/>
        <v>0</v>
      </c>
      <c r="K24" s="451">
        <v>1</v>
      </c>
      <c r="L24" s="7">
        <f t="shared" si="12"/>
        <v>0</v>
      </c>
      <c r="M24" s="80"/>
      <c r="N24" s="44">
        <f t="shared" si="13"/>
        <v>0</v>
      </c>
      <c r="O24" s="44">
        <f t="shared" si="14"/>
        <v>0</v>
      </c>
      <c r="R24" s="33"/>
    </row>
    <row r="25" spans="1:18" ht="12" customHeight="1">
      <c r="A25" s="118" t="str">
        <f>Installation!A35</f>
        <v>Partenaires sexuelles de clients des PS</v>
      </c>
      <c r="B25" s="8"/>
      <c r="C25" s="8"/>
      <c r="D25" s="3"/>
      <c r="E25" s="3"/>
      <c r="F25" s="7">
        <f>B25*D25</f>
        <v>0</v>
      </c>
      <c r="G25" s="7">
        <f t="shared" si="8"/>
        <v>0</v>
      </c>
      <c r="H25" s="7">
        <f t="shared" si="9"/>
        <v>0</v>
      </c>
      <c r="I25" s="7">
        <f t="shared" si="10"/>
        <v>0</v>
      </c>
      <c r="J25" s="142">
        <f t="shared" si="11"/>
        <v>0</v>
      </c>
      <c r="K25" s="451">
        <v>1</v>
      </c>
      <c r="L25" s="7">
        <f t="shared" si="12"/>
        <v>0</v>
      </c>
      <c r="M25" s="80"/>
      <c r="N25" s="44">
        <f t="shared" si="13"/>
        <v>0</v>
      </c>
      <c r="O25" s="44">
        <f t="shared" si="14"/>
        <v>0</v>
      </c>
      <c r="R25" s="33"/>
    </row>
    <row r="26" spans="1:18" ht="10.5">
      <c r="A26" s="118" t="str">
        <f>Installation!C33</f>
        <v>Facultatif LR1</v>
      </c>
      <c r="B26" s="8"/>
      <c r="C26" s="8"/>
      <c r="D26" s="3"/>
      <c r="E26" s="3"/>
      <c r="F26" s="7">
        <f>B26*D26</f>
        <v>0</v>
      </c>
      <c r="G26" s="7">
        <f t="shared" si="8"/>
        <v>0</v>
      </c>
      <c r="H26" s="7">
        <f t="shared" si="9"/>
        <v>0</v>
      </c>
      <c r="I26" s="7">
        <f t="shared" si="10"/>
        <v>0</v>
      </c>
      <c r="J26" s="142">
        <f t="shared" si="11"/>
        <v>0</v>
      </c>
      <c r="K26" s="46"/>
      <c r="L26" s="7">
        <f t="shared" si="12"/>
        <v>0</v>
      </c>
      <c r="M26" s="80"/>
      <c r="N26" s="44">
        <f t="shared" si="13"/>
        <v>0</v>
      </c>
      <c r="O26" s="44">
        <f t="shared" si="14"/>
        <v>0</v>
      </c>
      <c r="R26" s="33"/>
    </row>
    <row r="27" spans="1:18" ht="10.5">
      <c r="A27" s="118" t="str">
        <f>Installation!C34</f>
        <v>Facultatif LR2</v>
      </c>
      <c r="B27" s="8"/>
      <c r="C27" s="8"/>
      <c r="D27" s="3"/>
      <c r="E27" s="3"/>
      <c r="F27" s="7">
        <f>B27*D27</f>
        <v>0</v>
      </c>
      <c r="G27" s="7">
        <f t="shared" si="8"/>
        <v>0</v>
      </c>
      <c r="H27" s="7">
        <f t="shared" si="9"/>
        <v>0</v>
      </c>
      <c r="I27" s="7">
        <f t="shared" si="10"/>
        <v>0</v>
      </c>
      <c r="J27" s="142">
        <f t="shared" si="11"/>
        <v>0</v>
      </c>
      <c r="K27" s="46"/>
      <c r="L27" s="7">
        <f t="shared" si="12"/>
        <v>0</v>
      </c>
      <c r="M27" s="80"/>
      <c r="N27" s="44">
        <f t="shared" si="13"/>
        <v>0</v>
      </c>
      <c r="O27" s="44">
        <f t="shared" si="14"/>
        <v>0</v>
      </c>
      <c r="R27" s="33"/>
    </row>
    <row r="28" spans="1:18" ht="11.25" thickBot="1">
      <c r="A28" s="147" t="str">
        <f>Installation!C35</f>
        <v>Facultatif LR3</v>
      </c>
      <c r="B28" s="8"/>
      <c r="C28" s="8"/>
      <c r="D28" s="3"/>
      <c r="E28" s="3"/>
      <c r="F28" s="7">
        <f>B28*D28</f>
        <v>0</v>
      </c>
      <c r="G28" s="7">
        <f t="shared" si="8"/>
        <v>0</v>
      </c>
      <c r="H28" s="7">
        <f t="shared" si="9"/>
        <v>0</v>
      </c>
      <c r="I28" s="7">
        <f t="shared" si="10"/>
        <v>0</v>
      </c>
      <c r="J28" s="142">
        <f t="shared" si="11"/>
        <v>0</v>
      </c>
      <c r="K28" s="46"/>
      <c r="L28" s="7">
        <f t="shared" si="12"/>
        <v>0</v>
      </c>
      <c r="M28" s="80"/>
      <c r="N28" s="44">
        <f t="shared" si="13"/>
        <v>0</v>
      </c>
      <c r="O28" s="44">
        <f t="shared" si="14"/>
        <v>0</v>
      </c>
      <c r="R28" s="33"/>
    </row>
    <row r="29" spans="1:18" ht="10.5">
      <c r="A29" s="104" t="s">
        <v>268</v>
      </c>
      <c r="B29" s="81">
        <f>SUM(B23:B28)</f>
        <v>0</v>
      </c>
      <c r="C29" s="81">
        <f>SUM(C23:C28)</f>
        <v>0</v>
      </c>
      <c r="D29" s="82"/>
      <c r="E29" s="82"/>
      <c r="F29" s="27"/>
      <c r="G29" s="27"/>
      <c r="H29" s="27"/>
      <c r="I29" s="27"/>
      <c r="J29" s="39">
        <f>SUM(J23:J28)</f>
        <v>0</v>
      </c>
      <c r="K29" s="28"/>
      <c r="L29" s="39">
        <f>SUM(L23:L28)</f>
        <v>0</v>
      </c>
      <c r="M29" s="83">
        <f>IF(L29&gt;0,L29/J29,"")</f>
      </c>
      <c r="N29" s="44">
        <f>SUM(N23:N28)</f>
        <v>0</v>
      </c>
      <c r="O29" s="44">
        <f>SUM(O23:O28)</f>
        <v>0</v>
      </c>
      <c r="R29" s="33"/>
    </row>
    <row r="30" spans="1:15" s="18" customFormat="1" ht="21" customHeight="1">
      <c r="A30" s="600" t="s">
        <v>271</v>
      </c>
      <c r="B30" s="597" t="s">
        <v>229</v>
      </c>
      <c r="C30" s="599"/>
      <c r="D30" s="597" t="s">
        <v>230</v>
      </c>
      <c r="E30" s="599"/>
      <c r="F30" s="607" t="s">
        <v>219</v>
      </c>
      <c r="G30" s="608"/>
      <c r="H30" s="608"/>
      <c r="I30" s="609"/>
      <c r="J30" s="600" t="s">
        <v>199</v>
      </c>
      <c r="K30" s="597" t="s">
        <v>287</v>
      </c>
      <c r="L30" s="598"/>
      <c r="M30" s="599"/>
      <c r="N30" s="68"/>
      <c r="O30" s="68"/>
    </row>
    <row r="31" spans="1:18" ht="51.75" customHeight="1">
      <c r="A31" s="604"/>
      <c r="B31" s="16" t="s">
        <v>231</v>
      </c>
      <c r="C31" s="16" t="s">
        <v>232</v>
      </c>
      <c r="D31" s="16" t="s">
        <v>172</v>
      </c>
      <c r="E31" s="16" t="s">
        <v>179</v>
      </c>
      <c r="F31" s="16" t="s">
        <v>233</v>
      </c>
      <c r="G31" s="16" t="s">
        <v>235</v>
      </c>
      <c r="H31" s="16" t="s">
        <v>234</v>
      </c>
      <c r="I31" s="16" t="s">
        <v>236</v>
      </c>
      <c r="J31" s="601"/>
      <c r="K31" s="16" t="s">
        <v>203</v>
      </c>
      <c r="L31" s="16" t="s">
        <v>201</v>
      </c>
      <c r="M31" s="16" t="s">
        <v>246</v>
      </c>
      <c r="O31" s="33"/>
      <c r="R31" s="33"/>
    </row>
    <row r="32" spans="1:18" ht="10.5">
      <c r="A32" s="105" t="s">
        <v>158</v>
      </c>
      <c r="B32" s="41">
        <f>(($B$2*0.5)-O18)*$B$3</f>
        <v>0</v>
      </c>
      <c r="C32" s="41">
        <f>(($B$2*0.5)-N18)*$B$3</f>
        <v>0</v>
      </c>
      <c r="D32" s="3"/>
      <c r="E32" s="3"/>
      <c r="F32" s="7">
        <f>B32*D32</f>
        <v>0</v>
      </c>
      <c r="G32" s="7">
        <f>B32*(E32)</f>
        <v>0</v>
      </c>
      <c r="H32" s="7">
        <f>C32*(D32)</f>
        <v>0</v>
      </c>
      <c r="I32" s="7">
        <f>C32*(E32)</f>
        <v>0</v>
      </c>
      <c r="J32" s="142">
        <f>AVERAGE(F32:I32)</f>
        <v>0</v>
      </c>
      <c r="L32" s="2"/>
      <c r="M32" s="80"/>
      <c r="O32" s="33"/>
      <c r="R32" s="33"/>
    </row>
    <row r="33" spans="1:13" s="18" customFormat="1" ht="10.5">
      <c r="A33" s="105" t="s">
        <v>159</v>
      </c>
      <c r="B33" s="41">
        <f>(($B$2*0.5)-O18)*(1-$B$3)</f>
        <v>0</v>
      </c>
      <c r="C33" s="41">
        <f>(($B$2*0.5)-N18)*(1-$B$3)</f>
        <v>0</v>
      </c>
      <c r="D33" s="3"/>
      <c r="E33" s="3"/>
      <c r="F33" s="7">
        <f>B33*D33</f>
        <v>0</v>
      </c>
      <c r="G33" s="7">
        <f>B33*(E33)</f>
        <v>0</v>
      </c>
      <c r="H33" s="7">
        <f>C33*(D33)</f>
        <v>0</v>
      </c>
      <c r="I33" s="7">
        <f>C33*(E33)</f>
        <v>0</v>
      </c>
      <c r="J33" s="142">
        <f>AVERAGE(F33:I33)</f>
        <v>0</v>
      </c>
      <c r="K33" s="33"/>
      <c r="L33" s="2"/>
      <c r="M33" s="80"/>
    </row>
    <row r="34" spans="1:13" s="18" customFormat="1" ht="11.25" thickBot="1">
      <c r="A34" s="104" t="s">
        <v>268</v>
      </c>
      <c r="B34" s="178">
        <f>SUM(B32:B33)</f>
        <v>0</v>
      </c>
      <c r="C34" s="178">
        <f>SUM(C32:C33)</f>
        <v>0</v>
      </c>
      <c r="D34" s="174"/>
      <c r="E34" s="17"/>
      <c r="F34" s="4"/>
      <c r="G34" s="4"/>
      <c r="H34" s="4"/>
      <c r="I34" s="4"/>
      <c r="J34" s="39">
        <f>SUM(J32:J33)</f>
        <v>0</v>
      </c>
      <c r="K34" s="171"/>
      <c r="L34" s="39">
        <f>J34</f>
        <v>0</v>
      </c>
      <c r="M34" s="83">
        <f>IF(L34&gt;0,L34/J34,"")</f>
      </c>
    </row>
    <row r="35" spans="1:18" ht="12" customHeight="1" thickBot="1">
      <c r="A35" s="173" t="s">
        <v>160</v>
      </c>
      <c r="B35" s="66">
        <f>IF($E$4&lt;&gt;"",$B$2-(C18+C29),$B$2-(C18+C34))</f>
        <v>0</v>
      </c>
      <c r="C35" s="66">
        <f>IF($E$4&lt;&gt;"",$B$2-(B18+B29),$B$2-(B18+B34))</f>
        <v>0</v>
      </c>
      <c r="D35" s="181"/>
      <c r="E35" s="181"/>
      <c r="F35" s="67"/>
      <c r="G35" s="67"/>
      <c r="H35" s="67"/>
      <c r="I35" s="67"/>
      <c r="J35" s="182"/>
      <c r="K35" s="183"/>
      <c r="L35" s="184"/>
      <c r="M35" s="185"/>
      <c r="O35" s="33"/>
      <c r="R35" s="33"/>
    </row>
    <row r="36" spans="1:17" s="419" customFormat="1" ht="12.75" customHeight="1" thickBot="1">
      <c r="A36" s="414" t="s">
        <v>301</v>
      </c>
      <c r="B36" s="439" t="str">
        <f>IF($E$4&lt;&gt;"",B29,IF($E$5&lt;&gt;"",B34,"0"))</f>
        <v>0</v>
      </c>
      <c r="C36" s="439" t="str">
        <f>IF($E$4&lt;&gt;"",C29,IF($E$5&lt;&gt;"",C34,"0"))</f>
        <v>0</v>
      </c>
      <c r="D36" s="440"/>
      <c r="E36" s="440"/>
      <c r="F36" s="441"/>
      <c r="G36" s="441"/>
      <c r="H36" s="441"/>
      <c r="I36" s="441"/>
      <c r="J36" s="442" t="str">
        <f>IF($E$4&lt;&gt;"",$J$29,IF($E$5&lt;&gt;"",$J$34,"0"))</f>
        <v>0</v>
      </c>
      <c r="K36" s="426"/>
      <c r="L36" s="442" t="str">
        <f>IF($E$4&lt;&gt;"",$L$29,IF($E$5&lt;&gt;"",$L$34,"0"))</f>
        <v>0</v>
      </c>
      <c r="M36" s="443">
        <f>IF(E4&lt;&gt;"",IF(J36&gt;0,L36/J36,IF(E5&lt;&gt;"",IF(J36&gt;0,L36/J36,""),"")),"")</f>
      </c>
      <c r="P36" s="420"/>
      <c r="Q36" s="420"/>
    </row>
    <row r="37" spans="1:13" s="78" customFormat="1" ht="12.75" customHeight="1">
      <c r="A37" s="172"/>
      <c r="B37" s="175"/>
      <c r="C37" s="175"/>
      <c r="D37" s="176"/>
      <c r="E37" s="176"/>
      <c r="F37" s="177"/>
      <c r="G37" s="177"/>
      <c r="H37" s="177"/>
      <c r="I37" s="177"/>
      <c r="J37" s="186"/>
      <c r="K37" s="187"/>
      <c r="L37" s="179"/>
      <c r="M37" s="180"/>
    </row>
    <row r="38" spans="1:13" s="18" customFormat="1" ht="12.75" customHeight="1">
      <c r="A38" s="148" t="s">
        <v>227</v>
      </c>
      <c r="B38" s="58"/>
      <c r="C38" s="59"/>
      <c r="D38" s="60"/>
      <c r="E38" s="60"/>
      <c r="F38" s="60"/>
      <c r="G38" s="60"/>
      <c r="H38" s="60"/>
      <c r="I38" s="60"/>
      <c r="J38" s="56"/>
      <c r="K38" s="56"/>
      <c r="L38" s="60"/>
      <c r="M38" s="77"/>
    </row>
    <row r="39" spans="1:13" s="18" customFormat="1" ht="21.75" customHeight="1">
      <c r="A39" s="57"/>
      <c r="B39" s="605"/>
      <c r="C39" s="605"/>
      <c r="D39" s="606"/>
      <c r="E39" s="606"/>
      <c r="F39" s="606"/>
      <c r="G39" s="606"/>
      <c r="H39" s="606"/>
      <c r="I39" s="606"/>
      <c r="J39" s="600" t="s">
        <v>199</v>
      </c>
      <c r="K39" s="597" t="s">
        <v>287</v>
      </c>
      <c r="L39" s="598"/>
      <c r="M39" s="599"/>
    </row>
    <row r="40" spans="1:18" ht="48" customHeight="1" thickBot="1">
      <c r="A40" s="74"/>
      <c r="B40" s="75"/>
      <c r="C40" s="75"/>
      <c r="D40" s="75"/>
      <c r="E40" s="75"/>
      <c r="F40" s="75"/>
      <c r="G40" s="75"/>
      <c r="H40" s="75"/>
      <c r="I40" s="75"/>
      <c r="J40" s="601"/>
      <c r="K40" s="16" t="s">
        <v>203</v>
      </c>
      <c r="L40" s="16" t="s">
        <v>201</v>
      </c>
      <c r="M40" s="16" t="s">
        <v>246</v>
      </c>
      <c r="O40" s="33"/>
      <c r="R40" s="33"/>
    </row>
    <row r="41" spans="1:18" ht="11.25" thickBot="1">
      <c r="A41" s="444" t="s">
        <v>273</v>
      </c>
      <c r="B41" s="422"/>
      <c r="C41" s="422"/>
      <c r="D41" s="5"/>
      <c r="E41" s="5"/>
      <c r="F41" s="150"/>
      <c r="G41" s="150"/>
      <c r="H41" s="150"/>
      <c r="I41" s="150"/>
      <c r="J41" s="425">
        <f>J18+J36</f>
        <v>0</v>
      </c>
      <c r="K41" s="426"/>
      <c r="L41" s="425">
        <f>L18+L36</f>
        <v>0</v>
      </c>
      <c r="M41" s="443">
        <f>IF(L41&gt;0,L41/J41,"")</f>
      </c>
      <c r="O41" s="33"/>
      <c r="R41" s="33"/>
    </row>
    <row r="42" spans="1:13" s="18" customFormat="1" ht="10.5">
      <c r="A42" s="33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8" ht="12" customHeight="1">
      <c r="A43" s="271" t="s">
        <v>225</v>
      </c>
      <c r="B43" s="236">
        <f>J41</f>
        <v>0</v>
      </c>
      <c r="C43" s="25"/>
      <c r="D43" s="270" t="s">
        <v>204</v>
      </c>
      <c r="E43" s="290"/>
      <c r="F43" s="388"/>
      <c r="G43" s="389"/>
      <c r="H43" s="389"/>
      <c r="I43" s="389"/>
      <c r="J43" s="389"/>
      <c r="K43" s="390"/>
      <c r="L43" s="391"/>
      <c r="M43" s="34"/>
      <c r="O43" s="33"/>
      <c r="Q43" s="33"/>
      <c r="R43" s="33"/>
    </row>
    <row r="44" spans="1:18" ht="10.5">
      <c r="A44" s="272" t="s">
        <v>163</v>
      </c>
      <c r="B44" s="273">
        <f>IF(J10&gt;0,J10/J41,"")</f>
      </c>
      <c r="C44" s="25"/>
      <c r="D44" s="25"/>
      <c r="E44" s="25"/>
      <c r="F44" s="392"/>
      <c r="G44" s="393"/>
      <c r="H44" s="393"/>
      <c r="I44" s="393"/>
      <c r="J44" s="393"/>
      <c r="K44" s="394"/>
      <c r="L44" s="395"/>
      <c r="M44" s="34"/>
      <c r="O44" s="33"/>
      <c r="Q44" s="33"/>
      <c r="R44" s="33"/>
    </row>
    <row r="45" spans="1:18" ht="12.75" customHeight="1">
      <c r="A45" s="274" t="s">
        <v>226</v>
      </c>
      <c r="B45" s="574">
        <f>IF(J41&gt;0,J41/B2,"")</f>
      </c>
      <c r="C45" s="25"/>
      <c r="D45" s="25"/>
      <c r="E45" s="25"/>
      <c r="F45" s="392"/>
      <c r="G45" s="393"/>
      <c r="H45" s="393"/>
      <c r="I45" s="393"/>
      <c r="J45" s="393"/>
      <c r="K45" s="394"/>
      <c r="L45" s="395"/>
      <c r="M45" s="34"/>
      <c r="O45" s="33"/>
      <c r="Q45" s="33"/>
      <c r="R45" s="33"/>
    </row>
    <row r="46" spans="1:18" ht="12.75" customHeight="1">
      <c r="A46" s="275" t="s">
        <v>164</v>
      </c>
      <c r="B46" s="276">
        <f>M41</f>
      </c>
      <c r="C46" s="25"/>
      <c r="D46" s="25"/>
      <c r="E46" s="25"/>
      <c r="F46" s="396"/>
      <c r="G46" s="397"/>
      <c r="H46" s="397"/>
      <c r="I46" s="397"/>
      <c r="J46" s="397"/>
      <c r="K46" s="398"/>
      <c r="L46" s="399"/>
      <c r="M46" s="34"/>
      <c r="O46" s="33"/>
      <c r="Q46" s="33"/>
      <c r="R46" s="33"/>
    </row>
    <row r="47" spans="2:18" ht="12.75" customHeight="1">
      <c r="B47" s="33"/>
      <c r="C47" s="25"/>
      <c r="D47" s="25"/>
      <c r="E47" s="25"/>
      <c r="F47" s="25"/>
      <c r="G47" s="25"/>
      <c r="H47" s="25"/>
      <c r="I47" s="25"/>
      <c r="J47" s="25"/>
      <c r="K47" s="18"/>
      <c r="L47" s="18"/>
      <c r="M47" s="34"/>
      <c r="O47" s="33"/>
      <c r="Q47" s="33"/>
      <c r="R47" s="33"/>
    </row>
    <row r="48" spans="1:18" ht="12.75" customHeight="1">
      <c r="A48" s="238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18"/>
      <c r="L48" s="18"/>
      <c r="M48" s="34"/>
      <c r="O48" s="33"/>
      <c r="Q48" s="33"/>
      <c r="R48" s="33"/>
    </row>
    <row r="49" spans="7:18" ht="10.5">
      <c r="G49" s="106"/>
      <c r="H49" s="106"/>
      <c r="M49" s="34"/>
      <c r="O49" s="33"/>
      <c r="Q49" s="33"/>
      <c r="R49" s="33"/>
    </row>
    <row r="50" spans="1:18" ht="31.5">
      <c r="A50" s="547" t="s">
        <v>166</v>
      </c>
      <c r="B50" s="170" t="s">
        <v>205</v>
      </c>
      <c r="C50" s="258" t="s">
        <v>252</v>
      </c>
      <c r="D50" s="257"/>
      <c r="E50" s="257"/>
      <c r="F50" s="237"/>
      <c r="G50" s="238"/>
      <c r="H50" s="238"/>
      <c r="M50" s="34"/>
      <c r="O50" s="33"/>
      <c r="Q50" s="33"/>
      <c r="R50" s="33"/>
    </row>
    <row r="51" spans="1:18" ht="11.25">
      <c r="A51" s="277" t="s">
        <v>167</v>
      </c>
      <c r="B51" s="279" t="str">
        <f>IF($B$10&gt;0,(($B$10+$C$10)/2)/$B$2,"0")</f>
        <v>0</v>
      </c>
      <c r="C51" s="287" t="str">
        <f>IF($B$51="0","Données CDI manquantes !",IF($B$51&gt;0.0069,"Valeur anormalement élevée !","ok!"))</f>
        <v>Données CDI manquantes !</v>
      </c>
      <c r="D51" s="280"/>
      <c r="E51" s="281"/>
      <c r="F51" s="165"/>
      <c r="G51" s="239"/>
      <c r="H51" s="239"/>
      <c r="M51" s="34"/>
      <c r="O51" s="33"/>
      <c r="Q51" s="33"/>
      <c r="R51" s="33"/>
    </row>
    <row r="52" spans="1:18" ht="11.25">
      <c r="A52" s="277" t="s">
        <v>168</v>
      </c>
      <c r="B52" s="193" t="str">
        <f>IF($B$11&gt;0,(($B$11+$C$11)/2)/($B$2/2),"0")</f>
        <v>0</v>
      </c>
      <c r="C52" s="288" t="str">
        <f>IF($B$52="0","Données HSH manquantes !",IF($B$52&gt;0.05,"Valeur anormalement élevée !",IF($B$52&lt;0.02,"Valeur anormalement basse  !","ok!")))</f>
        <v>Données HSH manquantes !</v>
      </c>
      <c r="D52" s="282"/>
      <c r="E52" s="283"/>
      <c r="F52" s="166"/>
      <c r="G52" s="239"/>
      <c r="H52" s="239"/>
      <c r="M52" s="34"/>
      <c r="O52" s="33"/>
      <c r="Q52" s="33"/>
      <c r="R52" s="33"/>
    </row>
    <row r="53" spans="1:18" ht="11.25">
      <c r="A53" s="277" t="s">
        <v>169</v>
      </c>
      <c r="B53" s="193" t="str">
        <f>IF($B$12&gt;0,(($B$12+$C$12)/2)/($B$2/2),"0")</f>
        <v>0</v>
      </c>
      <c r="C53" s="288" t="str">
        <f>IF($B$53="0","Données FSW manquantes !",IF($B$53&gt;0.008,"Valeur anormalement élevée !",IF($B$53&lt;0.003,"Valeur anormalement basse !","ok!")))</f>
        <v>Données FSW manquantes !</v>
      </c>
      <c r="D53" s="282"/>
      <c r="E53" s="283"/>
      <c r="F53" s="166"/>
      <c r="G53" s="239"/>
      <c r="H53" s="239"/>
      <c r="M53" s="34"/>
      <c r="O53" s="33"/>
      <c r="Q53" s="33"/>
      <c r="R53" s="33"/>
    </row>
    <row r="54" spans="1:18" ht="11.25" customHeight="1">
      <c r="A54" s="278" t="s">
        <v>228</v>
      </c>
      <c r="B54" s="284" t="str">
        <f>IF($B$13&gt;0,(($B$13+$C$13)/2)/($B$2/2),"0")</f>
        <v>0</v>
      </c>
      <c r="C54" s="289" t="str">
        <f>IF($B$54="0","Données clients FSW manquantes !",IF($B$54&gt;0.2,"Valeur anormalement élevée !",IF($B$54&lt;0.05,"Valeur anormalement basse  !","ok!")))</f>
        <v>Données clients FSW manquantes !</v>
      </c>
      <c r="D54" s="285"/>
      <c r="E54" s="286"/>
      <c r="F54" s="166"/>
      <c r="G54" s="239"/>
      <c r="H54" s="239"/>
      <c r="M54" s="34"/>
      <c r="O54" s="33"/>
      <c r="Q54" s="33"/>
      <c r="R54" s="33"/>
    </row>
    <row r="55" spans="2:18" ht="9" customHeight="1">
      <c r="B55" s="108"/>
      <c r="D55" s="33"/>
      <c r="E55" s="33"/>
      <c r="M55" s="34"/>
      <c r="O55" s="33"/>
      <c r="Q55" s="33"/>
      <c r="R55" s="33"/>
    </row>
    <row r="56" spans="1:13" s="38" customFormat="1" ht="15.75" customHeight="1" hidden="1">
      <c r="A56" s="125" t="s">
        <v>12</v>
      </c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21" s="38" customFormat="1" ht="15.75" customHeight="1" hidden="1">
      <c r="A57" s="611" t="s">
        <v>22</v>
      </c>
      <c r="B57" s="612" t="s">
        <v>27</v>
      </c>
      <c r="C57" s="612"/>
      <c r="D57" s="612" t="s">
        <v>26</v>
      </c>
      <c r="E57" s="612"/>
      <c r="F57" s="612" t="s">
        <v>28</v>
      </c>
      <c r="G57" s="612"/>
      <c r="H57" s="612"/>
      <c r="I57" s="612"/>
      <c r="J57" s="612" t="s">
        <v>24</v>
      </c>
      <c r="K57" s="612" t="s">
        <v>23</v>
      </c>
      <c r="L57" s="612"/>
      <c r="M57" s="613"/>
      <c r="U57" s="115"/>
    </row>
    <row r="58" spans="1:13" s="38" customFormat="1" ht="15.75" customHeight="1" hidden="1">
      <c r="A58" s="611"/>
      <c r="B58" s="123" t="s">
        <v>9</v>
      </c>
      <c r="C58" s="123" t="s">
        <v>10</v>
      </c>
      <c r="D58" s="123" t="s">
        <v>9</v>
      </c>
      <c r="E58" s="123" t="s">
        <v>11</v>
      </c>
      <c r="F58" s="123" t="s">
        <v>5</v>
      </c>
      <c r="G58" s="123" t="s">
        <v>6</v>
      </c>
      <c r="H58" s="123" t="s">
        <v>7</v>
      </c>
      <c r="I58" s="123" t="s">
        <v>8</v>
      </c>
      <c r="J58" s="612"/>
      <c r="K58" s="124" t="s">
        <v>20</v>
      </c>
      <c r="L58" s="124" t="s">
        <v>0</v>
      </c>
      <c r="M58" s="130" t="s">
        <v>1</v>
      </c>
    </row>
    <row r="59" spans="1:13" s="38" customFormat="1" ht="15.75" customHeight="1" hidden="1">
      <c r="A59" s="133" t="s">
        <v>2</v>
      </c>
      <c r="B59" s="136">
        <f aca="true" t="shared" si="15" ref="B59:C65">IF($E$4&lt;&gt;"",B23,"")</f>
      </c>
      <c r="C59" s="136">
        <f t="shared" si="15"/>
      </c>
      <c r="D59" s="309">
        <f>IF($E$4&lt;&gt;"",D23,"")</f>
      </c>
      <c r="E59" s="309">
        <f aca="true" t="shared" si="16" ref="D59:L64">IF($E$4&lt;&gt;"",E23,"")</f>
      </c>
      <c r="F59" s="136">
        <f t="shared" si="16"/>
      </c>
      <c r="G59" s="136">
        <f t="shared" si="16"/>
      </c>
      <c r="H59" s="136">
        <f t="shared" si="16"/>
      </c>
      <c r="I59" s="136">
        <f t="shared" si="16"/>
      </c>
      <c r="J59" s="136">
        <f t="shared" si="16"/>
      </c>
      <c r="K59" s="136">
        <f t="shared" si="16"/>
      </c>
      <c r="L59" s="136">
        <f t="shared" si="16"/>
      </c>
      <c r="M59" s="116"/>
    </row>
    <row r="60" spans="1:13" s="38" customFormat="1" ht="15.75" customHeight="1" hidden="1">
      <c r="A60" s="133" t="s">
        <v>16</v>
      </c>
      <c r="B60" s="136">
        <f t="shared" si="15"/>
      </c>
      <c r="C60" s="136">
        <f t="shared" si="15"/>
      </c>
      <c r="D60" s="309">
        <f t="shared" si="16"/>
      </c>
      <c r="E60" s="309">
        <f t="shared" si="16"/>
      </c>
      <c r="F60" s="136">
        <f t="shared" si="16"/>
      </c>
      <c r="G60" s="136">
        <f t="shared" si="16"/>
      </c>
      <c r="H60" s="136">
        <f t="shared" si="16"/>
      </c>
      <c r="I60" s="136">
        <f t="shared" si="16"/>
      </c>
      <c r="J60" s="136">
        <f t="shared" si="16"/>
      </c>
      <c r="K60" s="136">
        <f t="shared" si="16"/>
      </c>
      <c r="L60" s="136">
        <f t="shared" si="16"/>
      </c>
      <c r="M60" s="116"/>
    </row>
    <row r="61" spans="1:13" s="38" customFormat="1" ht="15.75" customHeight="1" hidden="1">
      <c r="A61" s="133" t="s">
        <v>15</v>
      </c>
      <c r="B61" s="136">
        <f t="shared" si="15"/>
      </c>
      <c r="C61" s="136">
        <f t="shared" si="15"/>
      </c>
      <c r="D61" s="309">
        <f t="shared" si="16"/>
      </c>
      <c r="E61" s="309">
        <f t="shared" si="16"/>
      </c>
      <c r="F61" s="136">
        <f t="shared" si="16"/>
      </c>
      <c r="G61" s="136">
        <f t="shared" si="16"/>
      </c>
      <c r="H61" s="136">
        <f t="shared" si="16"/>
      </c>
      <c r="I61" s="136">
        <f t="shared" si="16"/>
      </c>
      <c r="J61" s="136">
        <f t="shared" si="16"/>
      </c>
      <c r="K61" s="136">
        <f t="shared" si="16"/>
      </c>
      <c r="L61" s="136">
        <f t="shared" si="16"/>
      </c>
      <c r="M61" s="116"/>
    </row>
    <row r="62" spans="1:13" s="38" customFormat="1" ht="15.75" customHeight="1" hidden="1">
      <c r="A62" s="133" t="s">
        <v>3</v>
      </c>
      <c r="B62" s="136">
        <f t="shared" si="15"/>
      </c>
      <c r="C62" s="136">
        <f t="shared" si="15"/>
      </c>
      <c r="D62" s="309">
        <f t="shared" si="16"/>
      </c>
      <c r="E62" s="309">
        <f t="shared" si="16"/>
      </c>
      <c r="F62" s="136">
        <f t="shared" si="16"/>
      </c>
      <c r="G62" s="136">
        <f t="shared" si="16"/>
      </c>
      <c r="H62" s="136">
        <f t="shared" si="16"/>
      </c>
      <c r="I62" s="136">
        <f t="shared" si="16"/>
      </c>
      <c r="J62" s="136">
        <f t="shared" si="16"/>
      </c>
      <c r="K62" s="136">
        <f t="shared" si="16"/>
      </c>
      <c r="L62" s="136">
        <f t="shared" si="16"/>
      </c>
      <c r="M62" s="116"/>
    </row>
    <row r="63" spans="1:13" s="38" customFormat="1" ht="15.75" customHeight="1" hidden="1">
      <c r="A63" s="133" t="s">
        <v>4</v>
      </c>
      <c r="B63" s="136">
        <f t="shared" si="15"/>
      </c>
      <c r="C63" s="136">
        <f t="shared" si="15"/>
      </c>
      <c r="D63" s="309">
        <f t="shared" si="16"/>
      </c>
      <c r="E63" s="309">
        <f t="shared" si="16"/>
      </c>
      <c r="F63" s="136">
        <f t="shared" si="16"/>
      </c>
      <c r="G63" s="136">
        <f t="shared" si="16"/>
      </c>
      <c r="H63" s="136">
        <f t="shared" si="16"/>
      </c>
      <c r="I63" s="136">
        <f t="shared" si="16"/>
      </c>
      <c r="J63" s="136">
        <f t="shared" si="16"/>
      </c>
      <c r="K63" s="136">
        <f t="shared" si="16"/>
      </c>
      <c r="L63" s="136">
        <f t="shared" si="16"/>
      </c>
      <c r="M63" s="116"/>
    </row>
    <row r="64" spans="1:13" s="38" customFormat="1" ht="15.75" customHeight="1" hidden="1">
      <c r="A64" s="133" t="s">
        <v>17</v>
      </c>
      <c r="B64" s="136">
        <f t="shared" si="15"/>
      </c>
      <c r="C64" s="136">
        <f t="shared" si="15"/>
      </c>
      <c r="D64" s="309">
        <f t="shared" si="16"/>
      </c>
      <c r="E64" s="309">
        <f t="shared" si="16"/>
      </c>
      <c r="F64" s="136">
        <f t="shared" si="16"/>
      </c>
      <c r="G64" s="136">
        <f t="shared" si="16"/>
      </c>
      <c r="H64" s="136">
        <f t="shared" si="16"/>
      </c>
      <c r="I64" s="136">
        <f t="shared" si="16"/>
      </c>
      <c r="J64" s="136">
        <f t="shared" si="16"/>
      </c>
      <c r="K64" s="136">
        <f t="shared" si="16"/>
      </c>
      <c r="L64" s="136">
        <f t="shared" si="16"/>
      </c>
      <c r="M64" s="116"/>
    </row>
    <row r="65" spans="1:13" s="38" customFormat="1" ht="15.75" customHeight="1" hidden="1">
      <c r="A65" s="131" t="s">
        <v>25</v>
      </c>
      <c r="B65" s="136">
        <f t="shared" si="15"/>
      </c>
      <c r="C65" s="136">
        <f t="shared" si="15"/>
      </c>
      <c r="D65" s="117"/>
      <c r="E65" s="117"/>
      <c r="F65" s="62"/>
      <c r="G65" s="62"/>
      <c r="H65" s="62"/>
      <c r="I65" s="62"/>
      <c r="J65" s="136">
        <f>IF($E$4&lt;&gt;"",J29,"")</f>
      </c>
      <c r="K65" s="136">
        <f>IF($E$4&lt;&gt;"",K29,"")</f>
      </c>
      <c r="L65" s="136">
        <f>IF($E$4&lt;&gt;"",L29,"")</f>
      </c>
      <c r="M65" s="137">
        <f>IF($E$4&lt;&gt;"",M29,"")</f>
      </c>
    </row>
    <row r="66" spans="1:13" s="38" customFormat="1" ht="15.75" customHeight="1" hidden="1">
      <c r="A66" s="131"/>
      <c r="B66" s="62"/>
      <c r="C66" s="62"/>
      <c r="D66" s="117"/>
      <c r="E66" s="117"/>
      <c r="F66" s="62"/>
      <c r="G66" s="62"/>
      <c r="H66" s="62"/>
      <c r="I66" s="62"/>
      <c r="J66" s="54"/>
      <c r="K66" s="22"/>
      <c r="L66" s="54"/>
      <c r="M66" s="132"/>
    </row>
    <row r="67" spans="1:13" s="38" customFormat="1" ht="15.75" customHeight="1" hidden="1">
      <c r="A67" s="611" t="s">
        <v>21</v>
      </c>
      <c r="B67" s="612" t="s">
        <v>27</v>
      </c>
      <c r="C67" s="612"/>
      <c r="D67" s="612" t="s">
        <v>26</v>
      </c>
      <c r="E67" s="612"/>
      <c r="F67" s="612" t="s">
        <v>28</v>
      </c>
      <c r="G67" s="612"/>
      <c r="H67" s="612"/>
      <c r="I67" s="612"/>
      <c r="J67" s="612" t="s">
        <v>24</v>
      </c>
      <c r="K67" s="612" t="s">
        <v>23</v>
      </c>
      <c r="L67" s="612"/>
      <c r="M67" s="613"/>
    </row>
    <row r="68" spans="1:13" s="38" customFormat="1" ht="15.75" customHeight="1" hidden="1">
      <c r="A68" s="614"/>
      <c r="B68" s="123" t="s">
        <v>9</v>
      </c>
      <c r="C68" s="123" t="s">
        <v>10</v>
      </c>
      <c r="D68" s="123" t="s">
        <v>9</v>
      </c>
      <c r="E68" s="123" t="s">
        <v>11</v>
      </c>
      <c r="F68" s="123" t="s">
        <v>5</v>
      </c>
      <c r="G68" s="123" t="s">
        <v>6</v>
      </c>
      <c r="H68" s="123" t="s">
        <v>7</v>
      </c>
      <c r="I68" s="123" t="s">
        <v>8</v>
      </c>
      <c r="J68" s="612"/>
      <c r="K68" s="124" t="s">
        <v>20</v>
      </c>
      <c r="L68" s="124" t="s">
        <v>0</v>
      </c>
      <c r="M68" s="130" t="s">
        <v>1</v>
      </c>
    </row>
    <row r="69" spans="1:13" s="38" customFormat="1" ht="15.75" customHeight="1" hidden="1">
      <c r="A69" s="133" t="s">
        <v>13</v>
      </c>
      <c r="B69" s="136">
        <f aca="true" t="shared" si="17" ref="B69:C72">IF($E$5&lt;&gt;"",B32,"")</f>
      </c>
      <c r="C69" s="136">
        <f t="shared" si="17"/>
      </c>
      <c r="D69" s="192">
        <f>IF($E$5&lt;&gt;"",D32,"")</f>
      </c>
      <c r="E69" s="192">
        <f>IF($E$5&lt;&gt;"",E32,"")</f>
      </c>
      <c r="F69" s="136">
        <f aca="true" t="shared" si="18" ref="F69:M72">IF($E$5&lt;&gt;"",F32,"")</f>
      </c>
      <c r="G69" s="136">
        <f t="shared" si="18"/>
      </c>
      <c r="H69" s="136">
        <f t="shared" si="18"/>
      </c>
      <c r="I69" s="136">
        <f t="shared" si="18"/>
      </c>
      <c r="J69" s="136">
        <f t="shared" si="18"/>
      </c>
      <c r="L69" s="119"/>
      <c r="M69" s="116"/>
    </row>
    <row r="70" spans="1:13" s="38" customFormat="1" ht="15.75" customHeight="1" hidden="1">
      <c r="A70" s="133" t="s">
        <v>14</v>
      </c>
      <c r="B70" s="136">
        <f t="shared" si="17"/>
      </c>
      <c r="C70" s="136">
        <f t="shared" si="17"/>
      </c>
      <c r="D70" s="192">
        <f>IF($E$5&lt;&gt;"",D33,"")</f>
      </c>
      <c r="E70" s="192">
        <f>IF($E$5&lt;&gt;"",E33,"")</f>
      </c>
      <c r="F70" s="136">
        <f t="shared" si="18"/>
      </c>
      <c r="G70" s="136">
        <f t="shared" si="18"/>
      </c>
      <c r="H70" s="136">
        <f t="shared" si="18"/>
      </c>
      <c r="I70" s="136">
        <f t="shared" si="18"/>
      </c>
      <c r="J70" s="136">
        <f t="shared" si="18"/>
      </c>
      <c r="L70" s="119"/>
      <c r="M70" s="116"/>
    </row>
    <row r="71" spans="1:13" s="38" customFormat="1" ht="15.75" customHeight="1" hidden="1">
      <c r="A71" s="134" t="s">
        <v>25</v>
      </c>
      <c r="B71" s="138">
        <f t="shared" si="17"/>
      </c>
      <c r="C71" s="138">
        <f t="shared" si="17"/>
      </c>
      <c r="D71" s="120"/>
      <c r="E71" s="121"/>
      <c r="F71" s="122"/>
      <c r="G71" s="122"/>
      <c r="H71" s="122"/>
      <c r="I71" s="122"/>
      <c r="J71" s="138">
        <f t="shared" si="18"/>
      </c>
      <c r="K71" s="138">
        <f t="shared" si="18"/>
      </c>
      <c r="L71" s="138">
        <f t="shared" si="18"/>
      </c>
      <c r="M71" s="139">
        <f t="shared" si="18"/>
      </c>
    </row>
    <row r="72" spans="1:13" s="38" customFormat="1" ht="15.75" customHeight="1" hidden="1">
      <c r="A72" s="131" t="str">
        <f>A35</f>
        <v>Population sans risque</v>
      </c>
      <c r="B72" s="136">
        <f t="shared" si="17"/>
      </c>
      <c r="C72" s="136">
        <f t="shared" si="17"/>
      </c>
      <c r="D72" s="189"/>
      <c r="E72" s="190"/>
      <c r="F72" s="191"/>
      <c r="G72" s="191"/>
      <c r="H72" s="191"/>
      <c r="I72" s="191"/>
      <c r="J72" s="136">
        <f t="shared" si="18"/>
      </c>
      <c r="K72" s="136">
        <f t="shared" si="18"/>
      </c>
      <c r="L72" s="136">
        <f t="shared" si="18"/>
      </c>
      <c r="M72" s="137">
        <f t="shared" si="18"/>
      </c>
    </row>
    <row r="73" spans="1:13" s="38" customFormat="1" ht="1.5" customHeight="1">
      <c r="A73" s="40"/>
      <c r="B73" s="136"/>
      <c r="C73" s="136"/>
      <c r="D73" s="189"/>
      <c r="E73" s="190"/>
      <c r="F73" s="191"/>
      <c r="G73" s="191"/>
      <c r="H73" s="191"/>
      <c r="I73" s="191"/>
      <c r="J73" s="136"/>
      <c r="K73" s="136"/>
      <c r="L73" s="136"/>
      <c r="M73" s="136"/>
    </row>
    <row r="74" spans="4:18" ht="10.5" customHeight="1">
      <c r="D74" s="33"/>
      <c r="E74" s="33"/>
      <c r="K74" s="34"/>
      <c r="N74" s="18"/>
      <c r="O74" s="33"/>
      <c r="P74" s="33"/>
      <c r="Q74" s="33"/>
      <c r="R74" s="33"/>
    </row>
    <row r="75" ht="12" customHeight="1"/>
    <row r="76" ht="10.5" customHeight="1"/>
  </sheetData>
  <sheetProtection sheet="1" objects="1" scenarios="1"/>
  <mergeCells count="36">
    <mergeCell ref="D67:E67"/>
    <mergeCell ref="F67:I67"/>
    <mergeCell ref="J67:J68"/>
    <mergeCell ref="K67:M67"/>
    <mergeCell ref="A67:A68"/>
    <mergeCell ref="B67:C67"/>
    <mergeCell ref="A57:A58"/>
    <mergeCell ref="B57:C57"/>
    <mergeCell ref="A30:A31"/>
    <mergeCell ref="B30:C30"/>
    <mergeCell ref="F30:I30"/>
    <mergeCell ref="K30:M30"/>
    <mergeCell ref="J39:J40"/>
    <mergeCell ref="K39:M39"/>
    <mergeCell ref="J30:J31"/>
    <mergeCell ref="D57:E57"/>
    <mergeCell ref="F57:I57"/>
    <mergeCell ref="J57:J58"/>
    <mergeCell ref="K57:M57"/>
    <mergeCell ref="D4:D5"/>
    <mergeCell ref="F21:I21"/>
    <mergeCell ref="B39:C39"/>
    <mergeCell ref="F8:I8"/>
    <mergeCell ref="D39:E39"/>
    <mergeCell ref="F39:I39"/>
    <mergeCell ref="D30:E30"/>
    <mergeCell ref="A8:A9"/>
    <mergeCell ref="B8:C8"/>
    <mergeCell ref="D8:E8"/>
    <mergeCell ref="B21:C21"/>
    <mergeCell ref="D21:E21"/>
    <mergeCell ref="A21:A22"/>
    <mergeCell ref="J8:J9"/>
    <mergeCell ref="K8:M8"/>
    <mergeCell ref="J21:J22"/>
    <mergeCell ref="K21:M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32"/>
  <sheetViews>
    <sheetView workbookViewId="0" topLeftCell="A1">
      <selection activeCell="G6" sqref="G6"/>
    </sheetView>
  </sheetViews>
  <sheetFormatPr defaultColWidth="9.140625" defaultRowHeight="12.75"/>
  <cols>
    <col min="1" max="1" width="16.00390625" style="361" customWidth="1"/>
    <col min="2" max="2" width="19.57421875" style="357" customWidth="1"/>
    <col min="3" max="3" width="8.7109375" style="359" customWidth="1"/>
    <col min="4" max="4" width="11.28125" style="353" customWidth="1"/>
    <col min="5" max="5" width="12.421875" style="353" customWidth="1"/>
    <col min="6" max="6" width="15.421875" style="353" customWidth="1"/>
    <col min="7" max="7" width="7.28125" style="353" customWidth="1"/>
    <col min="8" max="8" width="9.140625" style="357" customWidth="1"/>
    <col min="9" max="9" width="13.140625" style="357" customWidth="1"/>
    <col min="10" max="10" width="3.00390625" style="357" hidden="1" customWidth="1"/>
    <col min="11" max="11" width="17.140625" style="357" customWidth="1"/>
    <col min="12" max="12" width="8.8515625" style="357" customWidth="1"/>
    <col min="13" max="13" width="10.57421875" style="357" customWidth="1"/>
    <col min="14" max="16384" width="9.140625" style="357" customWidth="1"/>
  </cols>
  <sheetData>
    <row r="1" spans="1:11" s="356" customFormat="1" ht="14.25" thickBot="1">
      <c r="A1" s="323" t="s">
        <v>88</v>
      </c>
      <c r="B1" s="328">
        <f>Installation!B2</f>
        <v>0</v>
      </c>
      <c r="C1" s="329"/>
      <c r="D1" s="330"/>
      <c r="E1" s="331" t="s">
        <v>77</v>
      </c>
      <c r="F1" s="354"/>
      <c r="G1" s="353"/>
      <c r="H1" s="214" t="s">
        <v>79</v>
      </c>
      <c r="I1" s="355" t="s">
        <v>80</v>
      </c>
      <c r="K1" s="492" t="s">
        <v>70</v>
      </c>
    </row>
    <row r="2" spans="1:11" ht="14.25" thickBot="1">
      <c r="A2" s="335" t="s">
        <v>36</v>
      </c>
      <c r="B2" s="336">
        <f>IF('R0'!$B$2&gt;0,'R0'!$B$1,"")</f>
      </c>
      <c r="C2" s="337"/>
      <c r="D2" s="330"/>
      <c r="E2" s="338" t="s">
        <v>63</v>
      </c>
      <c r="F2" s="327">
        <v>1990.003170751238</v>
      </c>
      <c r="H2" s="310">
        <v>1980</v>
      </c>
      <c r="I2" s="565"/>
      <c r="J2" s="404">
        <f>LogisticFit!F4</f>
      </c>
      <c r="K2" s="568"/>
    </row>
    <row r="3" spans="1:11" s="359" customFormat="1" ht="13.5">
      <c r="A3" s="335" t="s">
        <v>73</v>
      </c>
      <c r="B3" s="343" t="s">
        <v>86</v>
      </c>
      <c r="C3" s="344"/>
      <c r="D3" s="585" t="s">
        <v>76</v>
      </c>
      <c r="E3" s="345" t="s">
        <v>59</v>
      </c>
      <c r="F3" s="314">
        <v>0</v>
      </c>
      <c r="G3" s="358"/>
      <c r="H3" s="212">
        <f>1+H2</f>
        <v>1981</v>
      </c>
      <c r="I3" s="566"/>
      <c r="K3" s="569"/>
    </row>
    <row r="4" spans="1:11" ht="14.25" thickBot="1">
      <c r="A4" s="335" t="s">
        <v>85</v>
      </c>
      <c r="B4" s="291" t="str">
        <f>IF(F6&lt;&gt;0,"Logistique double","Logistique simple")</f>
        <v>Logistique simple</v>
      </c>
      <c r="C4" s="347"/>
      <c r="D4" s="585"/>
      <c r="E4" s="34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342"/>
      <c r="B5" s="342"/>
      <c r="C5" s="347"/>
      <c r="D5" s="584" t="s">
        <v>78</v>
      </c>
      <c r="E5" s="349" t="s">
        <v>61</v>
      </c>
      <c r="F5" s="315">
        <v>0</v>
      </c>
      <c r="G5" s="357"/>
      <c r="H5" s="212">
        <f>1+H4</f>
        <v>1983</v>
      </c>
      <c r="I5" s="566"/>
      <c r="K5" s="569"/>
    </row>
    <row r="6" spans="1:11" ht="14.25" thickBot="1">
      <c r="A6" s="342"/>
      <c r="B6" s="342"/>
      <c r="C6" s="347"/>
      <c r="D6" s="584"/>
      <c r="E6" s="348" t="s">
        <v>62</v>
      </c>
      <c r="F6" s="321">
        <v>0</v>
      </c>
      <c r="G6" s="357"/>
      <c r="H6" s="212">
        <f aca="true" t="shared" si="0" ref="H6:H18">1+H5</f>
        <v>1984</v>
      </c>
      <c r="I6" s="566"/>
      <c r="K6" s="569"/>
    </row>
    <row r="7" spans="1:11" ht="14.25" thickBot="1">
      <c r="A7" s="342"/>
      <c r="B7" s="342"/>
      <c r="C7" s="347"/>
      <c r="D7" s="342"/>
      <c r="E7" s="350" t="s">
        <v>33</v>
      </c>
      <c r="F7" s="571">
        <f>SUM(LogisticFit!G4:G29)</f>
        <v>0</v>
      </c>
      <c r="G7" s="357"/>
      <c r="H7" s="212">
        <f t="shared" si="0"/>
        <v>1985</v>
      </c>
      <c r="I7" s="566"/>
      <c r="K7" s="569"/>
    </row>
    <row r="8" spans="1:11" ht="12.75">
      <c r="A8" s="357"/>
      <c r="D8" s="357"/>
      <c r="E8" s="357"/>
      <c r="F8" s="357"/>
      <c r="G8" s="357"/>
      <c r="H8" s="212">
        <f t="shared" si="0"/>
        <v>1986</v>
      </c>
      <c r="I8" s="566"/>
      <c r="K8" s="569"/>
    </row>
    <row r="9" spans="1:11" ht="12.75">
      <c r="A9" s="357"/>
      <c r="D9" s="357"/>
      <c r="E9" s="357"/>
      <c r="F9" s="357"/>
      <c r="G9" s="357"/>
      <c r="H9" s="212">
        <f t="shared" si="0"/>
        <v>1987</v>
      </c>
      <c r="I9" s="566"/>
      <c r="K9" s="569"/>
    </row>
    <row r="10" spans="1:11" ht="12.75">
      <c r="A10" s="357"/>
      <c r="D10" s="357"/>
      <c r="E10" s="357"/>
      <c r="F10" s="357"/>
      <c r="G10" s="357"/>
      <c r="H10" s="212">
        <f t="shared" si="0"/>
        <v>1988</v>
      </c>
      <c r="I10" s="566"/>
      <c r="K10" s="569"/>
    </row>
    <row r="11" spans="1:11" ht="12.75">
      <c r="A11" s="357"/>
      <c r="D11" s="357"/>
      <c r="E11" s="357"/>
      <c r="F11" s="357"/>
      <c r="G11" s="357"/>
      <c r="H11" s="212">
        <f t="shared" si="0"/>
        <v>1989</v>
      </c>
      <c r="I11" s="566"/>
      <c r="K11" s="569"/>
    </row>
    <row r="12" spans="1:11" ht="12.75">
      <c r="A12" s="357"/>
      <c r="D12" s="357"/>
      <c r="E12" s="357"/>
      <c r="F12" s="357"/>
      <c r="G12" s="357"/>
      <c r="H12" s="212">
        <f t="shared" si="0"/>
        <v>1990</v>
      </c>
      <c r="I12" s="566"/>
      <c r="K12" s="569"/>
    </row>
    <row r="13" spans="1:11" ht="12.75">
      <c r="A13" s="357"/>
      <c r="D13" s="357"/>
      <c r="E13" s="357"/>
      <c r="F13" s="357"/>
      <c r="G13" s="357"/>
      <c r="H13" s="212">
        <f t="shared" si="0"/>
        <v>1991</v>
      </c>
      <c r="I13" s="566"/>
      <c r="K13" s="569"/>
    </row>
    <row r="14" spans="1:11" ht="12.75">
      <c r="A14" s="357"/>
      <c r="D14" s="357"/>
      <c r="E14" s="357"/>
      <c r="F14" s="357"/>
      <c r="G14" s="357"/>
      <c r="H14" s="212">
        <f t="shared" si="0"/>
        <v>1992</v>
      </c>
      <c r="I14" s="566"/>
      <c r="K14" s="569"/>
    </row>
    <row r="15" spans="1:11" ht="12.75">
      <c r="A15" s="357"/>
      <c r="D15" s="357"/>
      <c r="E15" s="357"/>
      <c r="F15" s="357"/>
      <c r="G15" s="357"/>
      <c r="H15" s="212">
        <f t="shared" si="0"/>
        <v>1993</v>
      </c>
      <c r="I15" s="566"/>
      <c r="K15" s="569"/>
    </row>
    <row r="16" spans="1:11" ht="12.75">
      <c r="A16" s="357"/>
      <c r="D16" s="357"/>
      <c r="E16" s="357"/>
      <c r="F16" s="357"/>
      <c r="G16" s="357"/>
      <c r="H16" s="212">
        <f t="shared" si="0"/>
        <v>1994</v>
      </c>
      <c r="I16" s="566"/>
      <c r="K16" s="569"/>
    </row>
    <row r="17" spans="1:11" ht="12.75">
      <c r="A17" s="357"/>
      <c r="D17" s="357"/>
      <c r="E17" s="357"/>
      <c r="F17" s="357"/>
      <c r="G17" s="357"/>
      <c r="H17" s="212">
        <f t="shared" si="0"/>
        <v>1995</v>
      </c>
      <c r="I17" s="566"/>
      <c r="K17" s="569"/>
    </row>
    <row r="18" spans="1:11" ht="12.75">
      <c r="A18" s="357"/>
      <c r="D18" s="357"/>
      <c r="E18" s="357"/>
      <c r="F18" s="357"/>
      <c r="G18" s="357"/>
      <c r="H18" s="212">
        <f t="shared" si="0"/>
        <v>1996</v>
      </c>
      <c r="I18" s="566"/>
      <c r="K18" s="569"/>
    </row>
    <row r="19" spans="1:11" ht="12.75">
      <c r="A19" s="357"/>
      <c r="D19" s="357"/>
      <c r="E19" s="357"/>
      <c r="F19" s="357"/>
      <c r="G19" s="357"/>
      <c r="H19" s="212">
        <v>1997</v>
      </c>
      <c r="I19" s="566"/>
      <c r="K19" s="569"/>
    </row>
    <row r="20" spans="1:11" ht="12.75">
      <c r="A20" s="357"/>
      <c r="D20" s="357"/>
      <c r="E20" s="357"/>
      <c r="F20" s="357"/>
      <c r="G20" s="357"/>
      <c r="H20" s="212">
        <v>1998</v>
      </c>
      <c r="I20" s="566"/>
      <c r="K20" s="569"/>
    </row>
    <row r="21" spans="1:11" ht="12.75">
      <c r="A21" s="357"/>
      <c r="D21" s="357"/>
      <c r="E21" s="357"/>
      <c r="F21" s="357"/>
      <c r="G21" s="357"/>
      <c r="H21" s="212">
        <v>1999</v>
      </c>
      <c r="I21" s="566"/>
      <c r="K21" s="569"/>
    </row>
    <row r="22" spans="1:11" ht="12.75">
      <c r="A22" s="357"/>
      <c r="D22" s="357"/>
      <c r="E22" s="357"/>
      <c r="F22" s="357"/>
      <c r="G22" s="357"/>
      <c r="H22" s="212">
        <v>2000</v>
      </c>
      <c r="I22" s="566"/>
      <c r="K22" s="569"/>
    </row>
    <row r="23" spans="1:11" ht="12.75">
      <c r="A23" s="357"/>
      <c r="D23" s="357"/>
      <c r="E23" s="357"/>
      <c r="F23" s="357"/>
      <c r="G23" s="357"/>
      <c r="H23" s="212">
        <v>2001</v>
      </c>
      <c r="I23" s="566"/>
      <c r="K23" s="569"/>
    </row>
    <row r="24" spans="1:11" ht="12.75">
      <c r="A24" s="357"/>
      <c r="D24" s="357"/>
      <c r="E24" s="357"/>
      <c r="F24" s="357"/>
      <c r="G24" s="357"/>
      <c r="H24" s="212">
        <v>2002</v>
      </c>
      <c r="I24" s="566"/>
      <c r="K24" s="569"/>
    </row>
    <row r="25" spans="1:11" ht="12.75">
      <c r="A25" s="357"/>
      <c r="D25" s="357"/>
      <c r="E25" s="357"/>
      <c r="F25" s="357"/>
      <c r="G25" s="357"/>
      <c r="H25" s="212">
        <v>2003</v>
      </c>
      <c r="I25" s="566"/>
      <c r="K25" s="569"/>
    </row>
    <row r="26" spans="1:11" ht="12.75">
      <c r="A26" s="357"/>
      <c r="D26" s="357"/>
      <c r="E26" s="357"/>
      <c r="F26" s="357"/>
      <c r="G26" s="357"/>
      <c r="H26" s="212">
        <v>2004</v>
      </c>
      <c r="I26" s="566"/>
      <c r="K26" s="569"/>
    </row>
    <row r="27" spans="1:11" ht="12.75">
      <c r="A27" s="357"/>
      <c r="D27" s="357"/>
      <c r="E27" s="357"/>
      <c r="F27" s="357"/>
      <c r="G27" s="357"/>
      <c r="H27" s="213">
        <v>2005</v>
      </c>
      <c r="I27" s="575"/>
      <c r="K27" s="570"/>
    </row>
    <row r="28" spans="1:7" ht="12.75">
      <c r="A28" s="357"/>
      <c r="D28" s="357"/>
      <c r="E28" s="357"/>
      <c r="F28" s="357"/>
      <c r="G28" s="357"/>
    </row>
    <row r="29" spans="1:7" ht="12.75">
      <c r="A29" s="357"/>
      <c r="D29" s="357"/>
      <c r="E29" s="357"/>
      <c r="F29" s="357"/>
      <c r="G29" s="357"/>
    </row>
    <row r="30" spans="1:9" ht="12.75">
      <c r="A30" s="357"/>
      <c r="D30" s="357"/>
      <c r="E30" s="357"/>
      <c r="F30" s="357"/>
      <c r="G30" s="357"/>
      <c r="I30" s="360"/>
    </row>
    <row r="31" spans="1:7" ht="12.75">
      <c r="A31" s="357"/>
      <c r="D31" s="357"/>
      <c r="E31" s="357"/>
      <c r="F31" s="357"/>
      <c r="G31" s="357"/>
    </row>
    <row r="32" spans="5:6" ht="12.75">
      <c r="E32" s="357"/>
      <c r="F32" s="357"/>
    </row>
  </sheetData>
  <sheetProtection/>
  <mergeCells count="2">
    <mergeCell ref="D5:D6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98" r:id="rId2"/>
  <headerFooter alignWithMargins="0">
    <oddHeader>&amp;L&amp;F
&amp;D  &amp;T&amp;C&amp;A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32"/>
  <sheetViews>
    <sheetView workbookViewId="0" topLeftCell="A1">
      <selection activeCell="E31" sqref="E31"/>
    </sheetView>
  </sheetViews>
  <sheetFormatPr defaultColWidth="9.140625" defaultRowHeight="12.75"/>
  <cols>
    <col min="1" max="1" width="16.00390625" style="352" customWidth="1"/>
    <col min="2" max="2" width="19.57421875" style="342" customWidth="1"/>
    <col min="3" max="3" width="8.28125" style="347" customWidth="1"/>
    <col min="4" max="4" width="10.8515625" style="330" customWidth="1"/>
    <col min="5" max="5" width="12.421875" style="330" customWidth="1"/>
    <col min="6" max="6" width="16.421875" style="330" customWidth="1"/>
    <col min="7" max="7" width="8.421875" style="330" customWidth="1"/>
    <col min="8" max="8" width="9.140625" style="342" customWidth="1"/>
    <col min="9" max="9" width="14.8515625" style="342" customWidth="1"/>
    <col min="10" max="10" width="3.140625" style="342" hidden="1" customWidth="1"/>
    <col min="11" max="11" width="16.7109375" style="342" customWidth="1"/>
    <col min="12" max="13" width="10.7109375" style="342" customWidth="1"/>
    <col min="14" max="16384" width="9.140625" style="342" customWidth="1"/>
  </cols>
  <sheetData>
    <row r="1" spans="1:11" s="334" customFormat="1" ht="14.25" thickBot="1">
      <c r="A1" s="323" t="s">
        <v>89</v>
      </c>
      <c r="B1" s="328">
        <f>Installation!B2</f>
        <v>0</v>
      </c>
      <c r="C1" s="329"/>
      <c r="D1" s="330"/>
      <c r="E1" s="331" t="s">
        <v>77</v>
      </c>
      <c r="F1" s="332"/>
      <c r="G1" s="330"/>
      <c r="H1" s="214" t="s">
        <v>79</v>
      </c>
      <c r="I1" s="355" t="s">
        <v>80</v>
      </c>
      <c r="K1" s="492" t="s">
        <v>70</v>
      </c>
    </row>
    <row r="2" spans="1:11" ht="14.25" thickBot="1">
      <c r="A2" s="335" t="s">
        <v>36</v>
      </c>
      <c r="B2" s="336">
        <f>IF('R1'!$B$2&gt;0,'R1'!$B$1,"")</f>
      </c>
      <c r="C2" s="337"/>
      <c r="E2" s="338" t="s">
        <v>63</v>
      </c>
      <c r="F2" s="327">
        <v>1990</v>
      </c>
      <c r="H2" s="310">
        <v>1980</v>
      </c>
      <c r="I2" s="565"/>
      <c r="J2" s="405">
        <f>LogisticFit!I4</f>
      </c>
      <c r="K2" s="568"/>
    </row>
    <row r="3" spans="1:11" s="347" customFormat="1" ht="13.5">
      <c r="A3" s="335" t="s">
        <v>73</v>
      </c>
      <c r="B3" s="343" t="s">
        <v>40</v>
      </c>
      <c r="C3" s="344"/>
      <c r="D3" s="585" t="s">
        <v>76</v>
      </c>
      <c r="E3" s="345" t="s">
        <v>59</v>
      </c>
      <c r="F3" s="314">
        <v>0</v>
      </c>
      <c r="G3" s="346"/>
      <c r="H3" s="212">
        <f>1+H2</f>
        <v>1981</v>
      </c>
      <c r="I3" s="566"/>
      <c r="K3" s="569"/>
    </row>
    <row r="4" spans="1:11" ht="14.25" thickBot="1">
      <c r="A4" s="335" t="s">
        <v>74</v>
      </c>
      <c r="B4" s="291" t="str">
        <f>IF(F6&lt;&gt;0,"Logistique double","Logistique simple")</f>
        <v>Logistique simple</v>
      </c>
      <c r="D4" s="585"/>
      <c r="E4" s="34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342"/>
      <c r="D5" s="584" t="s">
        <v>78</v>
      </c>
      <c r="E5" s="349" t="s">
        <v>61</v>
      </c>
      <c r="F5" s="315">
        <v>0</v>
      </c>
      <c r="G5" s="342"/>
      <c r="H5" s="212">
        <f>1+H4</f>
        <v>1983</v>
      </c>
      <c r="I5" s="566"/>
      <c r="K5" s="569"/>
    </row>
    <row r="6" spans="1:11" ht="14.25" thickBot="1">
      <c r="A6" s="342"/>
      <c r="D6" s="584"/>
      <c r="E6" s="348" t="s">
        <v>62</v>
      </c>
      <c r="F6" s="321">
        <v>0</v>
      </c>
      <c r="G6" s="342"/>
      <c r="H6" s="212">
        <f aca="true" t="shared" si="0" ref="H6:H18">1+H5</f>
        <v>1984</v>
      </c>
      <c r="I6" s="566"/>
      <c r="K6" s="569"/>
    </row>
    <row r="7" spans="1:11" ht="14.25" thickBot="1">
      <c r="A7" s="342"/>
      <c r="D7" s="342"/>
      <c r="E7" s="350" t="s">
        <v>33</v>
      </c>
      <c r="F7" s="571">
        <f>SUM(LogisticFit!J4:J29)</f>
        <v>0</v>
      </c>
      <c r="G7" s="342"/>
      <c r="H7" s="212">
        <f t="shared" si="0"/>
        <v>1985</v>
      </c>
      <c r="I7" s="566"/>
      <c r="K7" s="569"/>
    </row>
    <row r="8" spans="1:11" ht="12.75">
      <c r="A8" s="342"/>
      <c r="D8" s="342"/>
      <c r="E8" s="342"/>
      <c r="F8" s="342"/>
      <c r="G8" s="342"/>
      <c r="H8" s="212">
        <f t="shared" si="0"/>
        <v>1986</v>
      </c>
      <c r="I8" s="566"/>
      <c r="K8" s="569"/>
    </row>
    <row r="9" spans="1:11" ht="12.75">
      <c r="A9" s="342"/>
      <c r="D9" s="342"/>
      <c r="E9" s="342"/>
      <c r="F9" s="342"/>
      <c r="G9" s="342"/>
      <c r="H9" s="212">
        <f t="shared" si="0"/>
        <v>1987</v>
      </c>
      <c r="I9" s="566"/>
      <c r="K9" s="569"/>
    </row>
    <row r="10" spans="1:11" ht="12.75">
      <c r="A10" s="342"/>
      <c r="D10" s="342"/>
      <c r="E10" s="342"/>
      <c r="F10" s="342"/>
      <c r="G10" s="342"/>
      <c r="H10" s="212">
        <f t="shared" si="0"/>
        <v>1988</v>
      </c>
      <c r="I10" s="566"/>
      <c r="K10" s="569"/>
    </row>
    <row r="11" spans="1:11" ht="12.75">
      <c r="A11" s="342"/>
      <c r="D11" s="342"/>
      <c r="E11" s="342"/>
      <c r="F11" s="342"/>
      <c r="G11" s="342"/>
      <c r="H11" s="212">
        <f t="shared" si="0"/>
        <v>1989</v>
      </c>
      <c r="I11" s="566"/>
      <c r="K11" s="569"/>
    </row>
    <row r="12" spans="1:11" ht="12.75">
      <c r="A12" s="342"/>
      <c r="D12" s="342"/>
      <c r="E12" s="342"/>
      <c r="F12" s="342"/>
      <c r="G12" s="342"/>
      <c r="H12" s="212">
        <f t="shared" si="0"/>
        <v>1990</v>
      </c>
      <c r="I12" s="566"/>
      <c r="K12" s="569"/>
    </row>
    <row r="13" spans="1:11" ht="12.75">
      <c r="A13" s="342"/>
      <c r="D13" s="342"/>
      <c r="E13" s="342"/>
      <c r="F13" s="342"/>
      <c r="G13" s="342"/>
      <c r="H13" s="212">
        <f t="shared" si="0"/>
        <v>1991</v>
      </c>
      <c r="I13" s="566"/>
      <c r="K13" s="569"/>
    </row>
    <row r="14" spans="1:11" ht="12.75">
      <c r="A14" s="342"/>
      <c r="D14" s="342"/>
      <c r="E14" s="342"/>
      <c r="F14" s="342"/>
      <c r="G14" s="342"/>
      <c r="H14" s="212">
        <f t="shared" si="0"/>
        <v>1992</v>
      </c>
      <c r="I14" s="566"/>
      <c r="K14" s="569"/>
    </row>
    <row r="15" spans="1:11" ht="12.75">
      <c r="A15" s="342"/>
      <c r="D15" s="342"/>
      <c r="E15" s="342"/>
      <c r="F15" s="342"/>
      <c r="G15" s="342"/>
      <c r="H15" s="212">
        <f t="shared" si="0"/>
        <v>1993</v>
      </c>
      <c r="I15" s="566"/>
      <c r="K15" s="569"/>
    </row>
    <row r="16" spans="1:11" ht="12.75">
      <c r="A16" s="342"/>
      <c r="D16" s="342"/>
      <c r="E16" s="342"/>
      <c r="F16" s="342"/>
      <c r="G16" s="342"/>
      <c r="H16" s="212">
        <f t="shared" si="0"/>
        <v>1994</v>
      </c>
      <c r="I16" s="566"/>
      <c r="K16" s="569"/>
    </row>
    <row r="17" spans="1:11" ht="12.75">
      <c r="A17" s="342"/>
      <c r="D17" s="342"/>
      <c r="E17" s="342"/>
      <c r="F17" s="342"/>
      <c r="G17" s="342"/>
      <c r="H17" s="212">
        <f t="shared" si="0"/>
        <v>1995</v>
      </c>
      <c r="I17" s="566"/>
      <c r="K17" s="569"/>
    </row>
    <row r="18" spans="1:11" ht="12.75">
      <c r="A18" s="342"/>
      <c r="D18" s="342"/>
      <c r="E18" s="342"/>
      <c r="F18" s="342"/>
      <c r="G18" s="342"/>
      <c r="H18" s="212">
        <f t="shared" si="0"/>
        <v>1996</v>
      </c>
      <c r="I18" s="566"/>
      <c r="K18" s="569"/>
    </row>
    <row r="19" spans="1:11" ht="12.75">
      <c r="A19" s="342"/>
      <c r="D19" s="342"/>
      <c r="E19" s="342"/>
      <c r="F19" s="342"/>
      <c r="G19" s="342"/>
      <c r="H19" s="212">
        <v>1997</v>
      </c>
      <c r="I19" s="566"/>
      <c r="K19" s="569"/>
    </row>
    <row r="20" spans="1:11" ht="12.75">
      <c r="A20" s="342"/>
      <c r="D20" s="342"/>
      <c r="E20" s="342"/>
      <c r="F20" s="342"/>
      <c r="G20" s="342"/>
      <c r="H20" s="212">
        <v>1998</v>
      </c>
      <c r="I20" s="566"/>
      <c r="K20" s="569"/>
    </row>
    <row r="21" spans="1:11" ht="12.75">
      <c r="A21" s="342"/>
      <c r="D21" s="342"/>
      <c r="E21" s="342"/>
      <c r="F21" s="342"/>
      <c r="G21" s="342"/>
      <c r="H21" s="212">
        <v>1999</v>
      </c>
      <c r="I21" s="566"/>
      <c r="K21" s="569"/>
    </row>
    <row r="22" spans="1:11" ht="12.75">
      <c r="A22" s="342"/>
      <c r="D22" s="342"/>
      <c r="E22" s="342"/>
      <c r="F22" s="342"/>
      <c r="G22" s="342"/>
      <c r="H22" s="212">
        <v>2000</v>
      </c>
      <c r="I22" s="566"/>
      <c r="K22" s="569"/>
    </row>
    <row r="23" spans="1:11" ht="12.75">
      <c r="A23" s="342"/>
      <c r="D23" s="342"/>
      <c r="E23" s="342"/>
      <c r="F23" s="342"/>
      <c r="G23" s="342"/>
      <c r="H23" s="212">
        <v>2001</v>
      </c>
      <c r="I23" s="566"/>
      <c r="K23" s="569"/>
    </row>
    <row r="24" spans="1:11" ht="12.75">
      <c r="A24" s="342"/>
      <c r="D24" s="342"/>
      <c r="E24" s="342"/>
      <c r="F24" s="342"/>
      <c r="G24" s="342"/>
      <c r="H24" s="212">
        <v>2002</v>
      </c>
      <c r="I24" s="566"/>
      <c r="K24" s="569"/>
    </row>
    <row r="25" spans="1:11" ht="12.75">
      <c r="A25" s="342"/>
      <c r="D25" s="342"/>
      <c r="E25" s="342"/>
      <c r="F25" s="342"/>
      <c r="G25" s="342"/>
      <c r="H25" s="212">
        <v>2003</v>
      </c>
      <c r="I25" s="566"/>
      <c r="K25" s="569"/>
    </row>
    <row r="26" spans="1:11" ht="12.75">
      <c r="A26" s="342"/>
      <c r="D26" s="342"/>
      <c r="E26" s="342"/>
      <c r="F26" s="342"/>
      <c r="G26" s="342"/>
      <c r="H26" s="212">
        <v>2004</v>
      </c>
      <c r="I26" s="566"/>
      <c r="K26" s="569"/>
    </row>
    <row r="27" spans="1:11" ht="12.75">
      <c r="A27" s="342"/>
      <c r="D27" s="342"/>
      <c r="E27" s="342"/>
      <c r="F27" s="342"/>
      <c r="G27" s="342"/>
      <c r="H27" s="213">
        <v>2005</v>
      </c>
      <c r="I27" s="575"/>
      <c r="K27" s="570"/>
    </row>
    <row r="28" spans="1:7" ht="12.75">
      <c r="A28" s="342"/>
      <c r="D28" s="342"/>
      <c r="E28" s="342"/>
      <c r="F28" s="342"/>
      <c r="G28" s="342"/>
    </row>
    <row r="29" spans="1:7" ht="12.75">
      <c r="A29" s="342"/>
      <c r="D29" s="342"/>
      <c r="E29" s="342"/>
      <c r="F29" s="342"/>
      <c r="G29" s="342"/>
    </row>
    <row r="30" spans="1:9" ht="12.75">
      <c r="A30" s="342"/>
      <c r="D30" s="342"/>
      <c r="E30" s="342"/>
      <c r="F30" s="342"/>
      <c r="G30" s="342"/>
      <c r="I30" s="351"/>
    </row>
    <row r="31" spans="1:7" ht="12.75">
      <c r="A31" s="342"/>
      <c r="D31" s="342"/>
      <c r="E31" s="342"/>
      <c r="F31" s="342"/>
      <c r="G31" s="342"/>
    </row>
    <row r="32" spans="5:6" ht="12.75">
      <c r="E32" s="342"/>
      <c r="F32" s="342"/>
    </row>
  </sheetData>
  <sheetProtection/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32"/>
  <sheetViews>
    <sheetView workbookViewId="0" topLeftCell="A1">
      <selection activeCell="G16" sqref="G16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00390625" style="207" customWidth="1"/>
    <col min="4" max="4" width="10.00390625" style="207" customWidth="1"/>
    <col min="5" max="5" width="12.8515625" style="207" customWidth="1"/>
    <col min="6" max="6" width="15.421875" style="207" customWidth="1"/>
    <col min="7" max="7" width="8.8515625" style="207" customWidth="1"/>
    <col min="8" max="8" width="9.140625" style="162" customWidth="1"/>
    <col min="9" max="9" width="13.421875" style="162" customWidth="1"/>
    <col min="10" max="10" width="1.7109375" style="162" hidden="1" customWidth="1"/>
    <col min="11" max="11" width="17.00390625" style="162" customWidth="1"/>
    <col min="12" max="13" width="13.140625" style="162" customWidth="1"/>
    <col min="14" max="16384" width="9.140625" style="162" customWidth="1"/>
  </cols>
  <sheetData>
    <row r="1" spans="1:11" s="215" customFormat="1" ht="14.25" thickBot="1">
      <c r="A1" s="216" t="s">
        <v>72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79</v>
      </c>
      <c r="I1" s="355" t="s">
        <v>80</v>
      </c>
      <c r="K1" s="492" t="s">
        <v>70</v>
      </c>
    </row>
    <row r="2" spans="1:11" ht="14.25" thickBot="1">
      <c r="A2" s="218" t="s">
        <v>36</v>
      </c>
      <c r="B2" s="217">
        <f>IF('R2'!$B$2&gt;0,'R2'!$B$1,"")</f>
      </c>
      <c r="E2" s="326" t="s">
        <v>63</v>
      </c>
      <c r="F2" s="327">
        <v>1990</v>
      </c>
      <c r="H2" s="310">
        <v>1980</v>
      </c>
      <c r="I2" s="565"/>
      <c r="J2" s="406">
        <f>LogisticFit!L4</f>
      </c>
      <c r="K2" s="568"/>
    </row>
    <row r="3" spans="1:11" s="210" customFormat="1" ht="13.5">
      <c r="A3" s="218" t="s">
        <v>73</v>
      </c>
      <c r="B3" s="291" t="s">
        <v>41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78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SUM(LogisticFit!M4:M29)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75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sheetProtection/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32"/>
  <sheetViews>
    <sheetView workbookViewId="0" topLeftCell="A1">
      <selection activeCell="F7" sqref="F7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7109375" style="207" customWidth="1"/>
    <col min="4" max="4" width="11.00390625" style="207" customWidth="1"/>
    <col min="5" max="5" width="12.421875" style="207" customWidth="1"/>
    <col min="6" max="6" width="13.7109375" style="207" customWidth="1"/>
    <col min="7" max="7" width="8.421875" style="207" customWidth="1"/>
    <col min="8" max="8" width="9.140625" style="162" customWidth="1"/>
    <col min="9" max="9" width="13.57421875" style="162" customWidth="1"/>
    <col min="10" max="10" width="0.13671875" style="162" hidden="1" customWidth="1"/>
    <col min="11" max="11" width="19.00390625" style="162" customWidth="1"/>
    <col min="12" max="13" width="12.8515625" style="162" customWidth="1"/>
    <col min="14" max="16384" width="9.140625" style="162" customWidth="1"/>
  </cols>
  <sheetData>
    <row r="1" spans="1:11" s="215" customFormat="1" ht="14.25" thickBot="1">
      <c r="A1" s="216" t="s">
        <v>89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92</v>
      </c>
      <c r="I1" s="355" t="s">
        <v>80</v>
      </c>
      <c r="K1" s="492" t="s">
        <v>70</v>
      </c>
    </row>
    <row r="2" spans="1:11" ht="14.25" thickBot="1">
      <c r="A2" s="218" t="s">
        <v>36</v>
      </c>
      <c r="B2" s="217">
        <f>IF('R3'!$B$2&gt;0,'R3'!$B$1,"")</f>
      </c>
      <c r="E2" s="326" t="s">
        <v>63</v>
      </c>
      <c r="F2" s="327">
        <v>1990</v>
      </c>
      <c r="H2" s="310">
        <v>1980</v>
      </c>
      <c r="I2" s="565"/>
      <c r="J2" s="406">
        <f>LogisticFit!O4</f>
      </c>
      <c r="K2" s="568"/>
    </row>
    <row r="3" spans="1:11" s="210" customFormat="1" ht="13.5">
      <c r="A3" s="218" t="s">
        <v>90</v>
      </c>
      <c r="B3" s="291" t="s">
        <v>42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91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SUM(LogisticFit!P4:P29)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67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sheetProtection/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32"/>
  <sheetViews>
    <sheetView workbookViewId="0" topLeftCell="A1">
      <selection activeCell="F30" sqref="F30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7109375" style="207" customWidth="1"/>
    <col min="4" max="4" width="11.00390625" style="207" customWidth="1"/>
    <col min="5" max="5" width="12.421875" style="207" customWidth="1"/>
    <col min="6" max="6" width="13.7109375" style="207" customWidth="1"/>
    <col min="7" max="7" width="8.421875" style="207" customWidth="1"/>
    <col min="8" max="8" width="9.140625" style="162" customWidth="1"/>
    <col min="9" max="9" width="13.00390625" style="162" customWidth="1"/>
    <col min="10" max="10" width="2.7109375" style="162" hidden="1" customWidth="1"/>
    <col min="11" max="11" width="17.00390625" style="162" customWidth="1"/>
    <col min="12" max="13" width="11.7109375" style="162" customWidth="1"/>
    <col min="14" max="16384" width="9.140625" style="162" customWidth="1"/>
  </cols>
  <sheetData>
    <row r="1" spans="1:11" s="215" customFormat="1" ht="14.25" thickBot="1">
      <c r="A1" s="216" t="s">
        <v>89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79</v>
      </c>
      <c r="I1" s="355" t="s">
        <v>80</v>
      </c>
      <c r="K1" s="492" t="s">
        <v>70</v>
      </c>
    </row>
    <row r="2" spans="1:11" ht="14.25" thickBot="1">
      <c r="A2" s="218" t="s">
        <v>36</v>
      </c>
      <c r="B2" s="217">
        <f>IF('R4'!$B$2&gt;0,'R4'!$B$1,"")</f>
      </c>
      <c r="E2" s="326" t="s">
        <v>63</v>
      </c>
      <c r="F2" s="327">
        <v>1990</v>
      </c>
      <c r="H2" s="310">
        <v>1980</v>
      </c>
      <c r="I2" s="565"/>
      <c r="J2" s="406">
        <f>LogisticFit!R4</f>
      </c>
      <c r="K2" s="568"/>
    </row>
    <row r="3" spans="1:11" s="210" customFormat="1" ht="13.5">
      <c r="A3" s="218" t="s">
        <v>73</v>
      </c>
      <c r="B3" s="291" t="s">
        <v>43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78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SUM(LogisticFit!S4:S29)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67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sheetProtection/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32"/>
  <sheetViews>
    <sheetView workbookViewId="0" topLeftCell="A1">
      <selection activeCell="C7" sqref="C7"/>
    </sheetView>
  </sheetViews>
  <sheetFormatPr defaultColWidth="9.140625" defaultRowHeight="12.75"/>
  <cols>
    <col min="1" max="1" width="16.00390625" style="209" customWidth="1"/>
    <col min="2" max="2" width="19.57421875" style="162" customWidth="1"/>
    <col min="3" max="3" width="8.7109375" style="207" customWidth="1"/>
    <col min="4" max="4" width="11.00390625" style="207" customWidth="1"/>
    <col min="5" max="5" width="12.421875" style="207" customWidth="1"/>
    <col min="6" max="6" width="13.7109375" style="207" customWidth="1"/>
    <col min="7" max="7" width="8.421875" style="207" customWidth="1"/>
    <col min="8" max="8" width="8.421875" style="162" customWidth="1"/>
    <col min="9" max="9" width="14.140625" style="162" customWidth="1"/>
    <col min="10" max="10" width="1.8515625" style="162" hidden="1" customWidth="1"/>
    <col min="11" max="11" width="17.00390625" style="162" customWidth="1"/>
    <col min="12" max="13" width="8.421875" style="162" customWidth="1"/>
    <col min="14" max="16384" width="9.140625" style="162" customWidth="1"/>
  </cols>
  <sheetData>
    <row r="1" spans="1:11" s="215" customFormat="1" ht="14.25" thickBot="1">
      <c r="A1" s="216" t="s">
        <v>89</v>
      </c>
      <c r="B1" s="220">
        <f>Installation!B2</f>
        <v>0</v>
      </c>
      <c r="C1" s="207"/>
      <c r="D1" s="207"/>
      <c r="E1" s="319" t="s">
        <v>77</v>
      </c>
      <c r="F1" s="320"/>
      <c r="G1" s="207"/>
      <c r="H1" s="214" t="s">
        <v>79</v>
      </c>
      <c r="I1" s="355" t="s">
        <v>80</v>
      </c>
      <c r="K1" s="492" t="s">
        <v>70</v>
      </c>
    </row>
    <row r="2" spans="1:11" ht="14.25" thickBot="1">
      <c r="A2" s="218" t="s">
        <v>36</v>
      </c>
      <c r="B2" s="217">
        <f>IF('R5'!$B$2&gt;0,'R5'!$B$1,"")</f>
      </c>
      <c r="E2" s="326" t="s">
        <v>63</v>
      </c>
      <c r="F2" s="327">
        <v>1990</v>
      </c>
      <c r="H2" s="310">
        <v>1980</v>
      </c>
      <c r="I2" s="565"/>
      <c r="J2" s="406">
        <f>LogisticFit!U4</f>
      </c>
      <c r="K2" s="568"/>
    </row>
    <row r="3" spans="1:11" s="210" customFormat="1" ht="13.5">
      <c r="A3" s="218" t="s">
        <v>73</v>
      </c>
      <c r="B3" s="291" t="s">
        <v>44</v>
      </c>
      <c r="C3" s="211"/>
      <c r="D3" s="582" t="s">
        <v>76</v>
      </c>
      <c r="E3" s="311" t="s">
        <v>59</v>
      </c>
      <c r="F3" s="314">
        <v>0</v>
      </c>
      <c r="G3" s="211"/>
      <c r="H3" s="212">
        <f>1+H2</f>
        <v>1981</v>
      </c>
      <c r="I3" s="566"/>
      <c r="K3" s="569"/>
    </row>
    <row r="4" spans="1:11" ht="14.25" thickBot="1">
      <c r="A4" s="218" t="s">
        <v>74</v>
      </c>
      <c r="B4" s="291" t="str">
        <f>IF(F6&lt;&gt;0,"Logistique double","Logistique simple")</f>
        <v>Logistique simple</v>
      </c>
      <c r="D4" s="582"/>
      <c r="E4" s="318" t="s">
        <v>60</v>
      </c>
      <c r="F4" s="321">
        <v>0</v>
      </c>
      <c r="H4" s="212">
        <f>1+H3</f>
        <v>1982</v>
      </c>
      <c r="I4" s="566"/>
      <c r="K4" s="569"/>
    </row>
    <row r="5" spans="1:11" ht="13.5">
      <c r="A5" s="162"/>
      <c r="C5" s="162"/>
      <c r="D5" s="583" t="s">
        <v>78</v>
      </c>
      <c r="E5" s="312" t="s">
        <v>61</v>
      </c>
      <c r="F5" s="315">
        <v>0</v>
      </c>
      <c r="G5" s="162"/>
      <c r="H5" s="212">
        <f>1+H4</f>
        <v>1983</v>
      </c>
      <c r="I5" s="566"/>
      <c r="K5" s="569"/>
    </row>
    <row r="6" spans="1:11" ht="14.25" thickBot="1">
      <c r="A6" s="162"/>
      <c r="C6" s="162"/>
      <c r="D6" s="583"/>
      <c r="E6" s="318" t="s">
        <v>62</v>
      </c>
      <c r="F6" s="321">
        <v>0</v>
      </c>
      <c r="G6" s="162"/>
      <c r="H6" s="212">
        <f aca="true" t="shared" si="0" ref="H6:H18">1+H5</f>
        <v>1984</v>
      </c>
      <c r="I6" s="566"/>
      <c r="K6" s="569"/>
    </row>
    <row r="7" spans="1:11" ht="14.25" thickBot="1">
      <c r="A7" s="162"/>
      <c r="C7" s="162"/>
      <c r="D7" s="162"/>
      <c r="E7" s="313" t="s">
        <v>33</v>
      </c>
      <c r="F7" s="564">
        <f>SUM(LogisticFit!V4:V29)</f>
        <v>0</v>
      </c>
      <c r="G7" s="162"/>
      <c r="H7" s="212">
        <f t="shared" si="0"/>
        <v>1985</v>
      </c>
      <c r="I7" s="566"/>
      <c r="K7" s="569"/>
    </row>
    <row r="8" spans="1:11" ht="12.75">
      <c r="A8" s="162"/>
      <c r="C8" s="162"/>
      <c r="D8" s="162"/>
      <c r="E8" s="162"/>
      <c r="F8" s="162"/>
      <c r="G8" s="162"/>
      <c r="H8" s="212">
        <f t="shared" si="0"/>
        <v>1986</v>
      </c>
      <c r="I8" s="566"/>
      <c r="K8" s="569"/>
    </row>
    <row r="9" spans="1:11" ht="12.75">
      <c r="A9" s="162"/>
      <c r="C9" s="162"/>
      <c r="D9" s="162"/>
      <c r="E9" s="162"/>
      <c r="F9" s="162"/>
      <c r="G9" s="162"/>
      <c r="H9" s="212">
        <f t="shared" si="0"/>
        <v>1987</v>
      </c>
      <c r="I9" s="566"/>
      <c r="K9" s="569"/>
    </row>
    <row r="10" spans="1:11" ht="12.75">
      <c r="A10" s="162"/>
      <c r="C10" s="162"/>
      <c r="D10" s="162"/>
      <c r="E10" s="162"/>
      <c r="F10" s="162"/>
      <c r="G10" s="162"/>
      <c r="H10" s="212">
        <f t="shared" si="0"/>
        <v>1988</v>
      </c>
      <c r="I10" s="566"/>
      <c r="K10" s="569"/>
    </row>
    <row r="11" spans="1:11" ht="12.75">
      <c r="A11" s="162"/>
      <c r="C11" s="162"/>
      <c r="D11" s="162"/>
      <c r="E11" s="162"/>
      <c r="F11" s="162"/>
      <c r="G11" s="162"/>
      <c r="H11" s="212">
        <f t="shared" si="0"/>
        <v>1989</v>
      </c>
      <c r="I11" s="566"/>
      <c r="K11" s="569"/>
    </row>
    <row r="12" spans="1:11" ht="12.75">
      <c r="A12" s="162"/>
      <c r="C12" s="162"/>
      <c r="D12" s="162"/>
      <c r="E12" s="162"/>
      <c r="F12" s="162"/>
      <c r="G12" s="162"/>
      <c r="H12" s="212">
        <f t="shared" si="0"/>
        <v>1990</v>
      </c>
      <c r="I12" s="566"/>
      <c r="K12" s="569"/>
    </row>
    <row r="13" spans="1:11" ht="12.75">
      <c r="A13" s="162"/>
      <c r="C13" s="162"/>
      <c r="D13" s="162"/>
      <c r="E13" s="162"/>
      <c r="F13" s="162"/>
      <c r="G13" s="162"/>
      <c r="H13" s="212">
        <f t="shared" si="0"/>
        <v>1991</v>
      </c>
      <c r="I13" s="566"/>
      <c r="K13" s="569"/>
    </row>
    <row r="14" spans="1:11" ht="12.75">
      <c r="A14" s="162"/>
      <c r="C14" s="162"/>
      <c r="D14" s="162"/>
      <c r="E14" s="162"/>
      <c r="F14" s="162"/>
      <c r="G14" s="162"/>
      <c r="H14" s="212">
        <f t="shared" si="0"/>
        <v>1992</v>
      </c>
      <c r="I14" s="566"/>
      <c r="K14" s="569"/>
    </row>
    <row r="15" spans="1:11" ht="12.75">
      <c r="A15" s="162"/>
      <c r="C15" s="162"/>
      <c r="D15" s="162"/>
      <c r="E15" s="162"/>
      <c r="F15" s="162"/>
      <c r="G15" s="162"/>
      <c r="H15" s="212">
        <f t="shared" si="0"/>
        <v>1993</v>
      </c>
      <c r="I15" s="566"/>
      <c r="K15" s="569"/>
    </row>
    <row r="16" spans="1:11" ht="12.75">
      <c r="A16" s="162"/>
      <c r="C16" s="162"/>
      <c r="D16" s="162"/>
      <c r="E16" s="162"/>
      <c r="F16" s="162"/>
      <c r="G16" s="162"/>
      <c r="H16" s="212">
        <f t="shared" si="0"/>
        <v>1994</v>
      </c>
      <c r="I16" s="566"/>
      <c r="K16" s="569"/>
    </row>
    <row r="17" spans="1:11" ht="12.75">
      <c r="A17" s="162"/>
      <c r="C17" s="162"/>
      <c r="D17" s="162"/>
      <c r="E17" s="162"/>
      <c r="F17" s="162"/>
      <c r="G17" s="162"/>
      <c r="H17" s="212">
        <f t="shared" si="0"/>
        <v>1995</v>
      </c>
      <c r="I17" s="566"/>
      <c r="K17" s="569"/>
    </row>
    <row r="18" spans="1:11" ht="12.75">
      <c r="A18" s="162"/>
      <c r="C18" s="162"/>
      <c r="D18" s="162"/>
      <c r="E18" s="162"/>
      <c r="F18" s="162"/>
      <c r="G18" s="162"/>
      <c r="H18" s="212">
        <f t="shared" si="0"/>
        <v>1996</v>
      </c>
      <c r="I18" s="566"/>
      <c r="K18" s="569"/>
    </row>
    <row r="19" spans="1:11" ht="12.75">
      <c r="A19" s="162"/>
      <c r="C19" s="162"/>
      <c r="D19" s="162"/>
      <c r="E19" s="162"/>
      <c r="F19" s="162"/>
      <c r="G19" s="162"/>
      <c r="H19" s="212">
        <v>1997</v>
      </c>
      <c r="I19" s="566"/>
      <c r="K19" s="569"/>
    </row>
    <row r="20" spans="1:11" ht="12.75">
      <c r="A20" s="162"/>
      <c r="C20" s="162"/>
      <c r="D20" s="162"/>
      <c r="E20" s="162"/>
      <c r="F20" s="162"/>
      <c r="G20" s="162"/>
      <c r="H20" s="212">
        <v>1998</v>
      </c>
      <c r="I20" s="566"/>
      <c r="K20" s="569"/>
    </row>
    <row r="21" spans="1:11" ht="12.75">
      <c r="A21" s="162"/>
      <c r="C21" s="162"/>
      <c r="D21" s="162"/>
      <c r="E21" s="162"/>
      <c r="F21" s="162"/>
      <c r="G21" s="162"/>
      <c r="H21" s="212">
        <v>1999</v>
      </c>
      <c r="I21" s="566"/>
      <c r="K21" s="569"/>
    </row>
    <row r="22" spans="1:11" ht="12.75">
      <c r="A22" s="162"/>
      <c r="C22" s="162"/>
      <c r="D22" s="162"/>
      <c r="E22" s="162"/>
      <c r="F22" s="162"/>
      <c r="G22" s="162"/>
      <c r="H22" s="212">
        <v>2000</v>
      </c>
      <c r="I22" s="566"/>
      <c r="K22" s="569"/>
    </row>
    <row r="23" spans="1:11" ht="12.75">
      <c r="A23" s="162"/>
      <c r="C23" s="162"/>
      <c r="D23" s="162"/>
      <c r="E23" s="162"/>
      <c r="F23" s="162"/>
      <c r="G23" s="162"/>
      <c r="H23" s="212">
        <v>2001</v>
      </c>
      <c r="I23" s="566"/>
      <c r="K23" s="569"/>
    </row>
    <row r="24" spans="1:11" ht="12.75">
      <c r="A24" s="162"/>
      <c r="C24" s="162"/>
      <c r="D24" s="162"/>
      <c r="E24" s="162"/>
      <c r="F24" s="162"/>
      <c r="G24" s="162"/>
      <c r="H24" s="212">
        <v>2002</v>
      </c>
      <c r="I24" s="566"/>
      <c r="K24" s="569"/>
    </row>
    <row r="25" spans="1:11" ht="12.75">
      <c r="A25" s="162"/>
      <c r="C25" s="162"/>
      <c r="D25" s="162"/>
      <c r="E25" s="162"/>
      <c r="F25" s="162"/>
      <c r="G25" s="162"/>
      <c r="H25" s="212">
        <v>2003</v>
      </c>
      <c r="I25" s="566"/>
      <c r="K25" s="569"/>
    </row>
    <row r="26" spans="1:11" ht="12.75">
      <c r="A26" s="162"/>
      <c r="C26" s="162"/>
      <c r="D26" s="162"/>
      <c r="E26" s="162"/>
      <c r="F26" s="162"/>
      <c r="G26" s="162"/>
      <c r="H26" s="212">
        <v>2004</v>
      </c>
      <c r="I26" s="566"/>
      <c r="K26" s="569"/>
    </row>
    <row r="27" spans="1:11" ht="12.75">
      <c r="A27" s="162"/>
      <c r="C27" s="162"/>
      <c r="D27" s="162"/>
      <c r="E27" s="162"/>
      <c r="F27" s="162"/>
      <c r="G27" s="162"/>
      <c r="H27" s="213">
        <v>2005</v>
      </c>
      <c r="I27" s="567"/>
      <c r="K27" s="570"/>
    </row>
    <row r="28" spans="1:7" ht="12.75">
      <c r="A28" s="162"/>
      <c r="C28" s="162"/>
      <c r="D28" s="162"/>
      <c r="E28" s="162"/>
      <c r="F28" s="162"/>
      <c r="G28" s="162"/>
    </row>
    <row r="29" spans="1:7" ht="12.75">
      <c r="A29" s="162"/>
      <c r="C29" s="162"/>
      <c r="D29" s="162"/>
      <c r="E29" s="162"/>
      <c r="F29" s="162"/>
      <c r="G29" s="162"/>
    </row>
    <row r="30" spans="1:9" ht="12.75">
      <c r="A30" s="162"/>
      <c r="C30" s="162"/>
      <c r="D30" s="162"/>
      <c r="E30" s="162"/>
      <c r="F30" s="162"/>
      <c r="G30" s="162"/>
      <c r="I30" s="208"/>
    </row>
    <row r="31" spans="1:7" ht="12.75">
      <c r="A31" s="162"/>
      <c r="C31" s="162"/>
      <c r="D31" s="162"/>
      <c r="E31" s="162"/>
      <c r="F31" s="162"/>
      <c r="G31" s="162"/>
    </row>
    <row r="32" spans="5:6" ht="12.75">
      <c r="E32" s="162"/>
      <c r="F32" s="162"/>
    </row>
  </sheetData>
  <sheetProtection/>
  <mergeCells count="2">
    <mergeCell ref="D3:D4"/>
    <mergeCell ref="D5:D6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&amp;L&amp;F
&amp;D  &amp;T&amp;C&amp;A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Workbook Method (10 regions)</dc:title>
  <dc:subject/>
  <dc:creator/>
  <cp:keywords/>
  <dc:description>The workbook approach to making HIV prevalence estimates and building future scenarios of HIV/AIDS prevalence was developed for use in countries with low-level and concentrated epidemics.</dc:description>
  <cp:lastModifiedBy>Elizabeth Zaniewski</cp:lastModifiedBy>
  <cp:lastPrinted>2005-04-26T12:58:48Z</cp:lastPrinted>
  <dcterms:created xsi:type="dcterms:W3CDTF">2002-08-01T08:58:09Z</dcterms:created>
  <dcterms:modified xsi:type="dcterms:W3CDTF">2005-06-29T09:24:23Z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1503798039</vt:i4>
  </property>
  <property fmtid="{D5CDD505-2E9C-101B-9397-08002B2CF9AE}" pid="3" name="_EmailSubject">
    <vt:lpwstr>TheWorkbook_beta_18April (espanol) finRevisadoTxe.xls</vt:lpwstr>
  </property>
  <property fmtid="{D5CDD505-2E9C-101B-9397-08002B2CF9AE}" pid="4" name="_AuthorEmail">
    <vt:lpwstr>fadriquelae@unaids.org</vt:lpwstr>
  </property>
  <property fmtid="{D5CDD505-2E9C-101B-9397-08002B2CF9AE}" pid="5" name="_AuthorEmailDisplayName">
    <vt:lpwstr>Fadriquela, Efren</vt:lpwstr>
  </property>
  <property fmtid="{D5CDD505-2E9C-101B-9397-08002B2CF9AE}" pid="6" name="_PreviousAdHocReviewCycleID">
    <vt:i4>-1236703122</vt:i4>
  </property>
  <property fmtid="{D5CDD505-2E9C-101B-9397-08002B2CF9AE}" pid="7" name="_ReviewingToolsShownOnce">
    <vt:lpwstr/>
  </property>
  <property fmtid="{D5CDD505-2E9C-101B-9397-08002B2CF9AE}" pid="8" name="AllowedToView">
    <vt:lpwstr>Public</vt:lpwstr>
  </property>
  <property fmtid="{D5CDD505-2E9C-101B-9397-08002B2CF9AE}" pid="9" name="IntendedUse">
    <vt:lpwstr>UNAIDS Publication</vt:lpwstr>
  </property>
  <property fmtid="{D5CDD505-2E9C-101B-9397-08002B2CF9AE}" pid="10" name="DateOfPublication">
    <vt:lpwstr>3/6/2005</vt:lpwstr>
  </property>
  <property fmtid="{D5CDD505-2E9C-101B-9397-08002B2CF9AE}" pid="11" name="Language">
    <vt:lpwstr>French</vt:lpwstr>
  </property>
  <property fmtid="{D5CDD505-2E9C-101B-9397-08002B2CF9AE}" pid="12" name="AuthorOrganization">
    <vt:lpwstr>UNAIDS; WHO</vt:lpwstr>
  </property>
  <property fmtid="{D5CDD505-2E9C-101B-9397-08002B2CF9AE}" pid="13" name="AuthorPersonal">
    <vt:lpwstr/>
  </property>
  <property fmtid="{D5CDD505-2E9C-101B-9397-08002B2CF9AE}" pid="14" name="Department">
    <vt:lpwstr>SMI-SIF</vt:lpwstr>
  </property>
  <property fmtid="{D5CDD505-2E9C-101B-9397-08002B2CF9AE}" pid="15" name="Contributors">
    <vt:lpwstr/>
  </property>
  <property fmtid="{D5CDD505-2E9C-101B-9397-08002B2CF9AE}" pid="16" name="Publisher">
    <vt:lpwstr/>
  </property>
  <property fmtid="{D5CDD505-2E9C-101B-9397-08002B2CF9AE}" pid="17" name="PlaceOfPublication">
    <vt:lpwstr>Geneva</vt:lpwstr>
  </property>
  <property fmtid="{D5CDD505-2E9C-101B-9397-08002B2CF9AE}" pid="18" name="PhysicalDescription">
    <vt:lpwstr/>
  </property>
  <property fmtid="{D5CDD505-2E9C-101B-9397-08002B2CF9AE}" pid="19" name="SeriesCollection">
    <vt:lpwstr/>
  </property>
  <property fmtid="{D5CDD505-2E9C-101B-9397-08002B2CF9AE}" pid="20" name="UNAIDSTopics">
    <vt:lpwstr>Epidemiology, estimates and projections</vt:lpwstr>
  </property>
  <property fmtid="{D5CDD505-2E9C-101B-9397-08002B2CF9AE}" pid="21" name="Region">
    <vt:lpwstr/>
  </property>
  <property fmtid="{D5CDD505-2E9C-101B-9397-08002B2CF9AE}" pid="22" name="Country">
    <vt:lpwstr/>
  </property>
  <property fmtid="{D5CDD505-2E9C-101B-9397-08002B2CF9AE}" pid="23" name="Identifiers">
    <vt:lpwstr/>
  </property>
  <property fmtid="{D5CDD505-2E9C-101B-9397-08002B2CF9AE}" pid="24" name="Format">
    <vt:lpwstr/>
  </property>
  <property fmtid="{D5CDD505-2E9C-101B-9397-08002B2CF9AE}" pid="25" name="Rights">
    <vt:lpwstr/>
  </property>
  <property fmtid="{D5CDD505-2E9C-101B-9397-08002B2CF9AE}" pid="26" name="CheckedBy">
    <vt:lpwstr/>
  </property>
</Properties>
</file>